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hidePivotFieldList="1"/>
  <mc:AlternateContent xmlns:mc="http://schemas.openxmlformats.org/markup-compatibility/2006">
    <mc:Choice Requires="x15">
      <x15ac:absPath xmlns:x15ac="http://schemas.microsoft.com/office/spreadsheetml/2010/11/ac" url="F:\Gabriela Popescu_office\Sef Serviciu_oct 2022\calendar apeluri\"/>
    </mc:Choice>
  </mc:AlternateContent>
  <xr:revisionPtr revIDLastSave="0" documentId="13_ncr:1_{6C8622A9-3BAE-430C-A68C-666620DC62B6}" xr6:coauthVersionLast="47" xr6:coauthVersionMax="47" xr10:uidLastSave="{00000000-0000-0000-0000-000000000000}"/>
  <bookViews>
    <workbookView xWindow="-120" yWindow="-120" windowWidth="29040" windowHeight="15840" xr2:uid="{00000000-000D-0000-FFFF-FFFF00000000}"/>
  </bookViews>
  <sheets>
    <sheet name="Apeluri PC 2023 " sheetId="13" r:id="rId1"/>
    <sheet name="Centralizator 2023" sheetId="5" state="hidden" r:id="rId2"/>
    <sheet name="Sheet1Pivot chart 0" sheetId="11" state="hidden" r:id="rId3"/>
    <sheet name="Sheet9" sheetId="10" state="hidden" r:id="rId4"/>
  </sheets>
  <definedNames>
    <definedName name="_xlnm._FilterDatabase" localSheetId="0" hidden="1">'Apeluri PC 2023 '!$A$6:$V$13</definedName>
    <definedName name="_xlnm.Print_Area" localSheetId="0">'Apeluri PC 2023 '!$A$1:$V$13</definedName>
    <definedName name="_xlnm.Print_Titles" localSheetId="0">'Apeluri PC 2023 '!$6:$6</definedName>
  </definedNames>
  <calcPr calcId="191029"/>
  <pivotCaches>
    <pivotCache cacheId="6"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 i="13" l="1"/>
  <c r="K10" i="13" l="1"/>
  <c r="K9" i="13"/>
  <c r="K12" i="13" l="1"/>
  <c r="E17" i="10" l="1"/>
  <c r="E16" i="10"/>
  <c r="E15" i="10"/>
  <c r="E14" i="10"/>
  <c r="E13" i="10"/>
  <c r="E12" i="10"/>
  <c r="E11" i="10"/>
  <c r="E10" i="10"/>
  <c r="E9" i="10"/>
  <c r="E8" i="10"/>
  <c r="E7" i="10"/>
  <c r="E5" i="10"/>
  <c r="E4" i="10"/>
  <c r="E3" i="10"/>
  <c r="E2" i="10"/>
  <c r="D17" i="10"/>
  <c r="D16" i="10"/>
  <c r="D15" i="10"/>
  <c r="D14" i="10"/>
  <c r="D13" i="10"/>
  <c r="D12" i="10"/>
  <c r="D11" i="10"/>
  <c r="D10" i="10"/>
  <c r="D9" i="10"/>
  <c r="D8" i="10"/>
  <c r="D7" i="10"/>
  <c r="D5" i="10"/>
  <c r="D4" i="10"/>
  <c r="D3" i="10"/>
  <c r="D2" i="10"/>
  <c r="C18" i="10"/>
  <c r="B18" i="10"/>
  <c r="E18" i="10" l="1"/>
  <c r="D18" i="10"/>
  <c r="D20" i="5" l="1"/>
  <c r="C20" i="5"/>
  <c r="D11" i="5"/>
  <c r="C11" i="5"/>
  <c r="C21" i="5" l="1"/>
  <c r="D21" i="5"/>
  <c r="E11" i="5"/>
  <c r="F20" i="5" l="1"/>
  <c r="E20" i="5" l="1"/>
  <c r="E21" i="5" s="1"/>
  <c r="F11" i="5" l="1"/>
  <c r="F21" i="5" s="1"/>
</calcChain>
</file>

<file path=xl/sharedStrings.xml><?xml version="1.0" encoding="utf-8"?>
<sst xmlns="http://schemas.openxmlformats.org/spreadsheetml/2006/main" count="196" uniqueCount="85">
  <si>
    <t>Nr. crt.</t>
  </si>
  <si>
    <t>Domeniu</t>
  </si>
  <si>
    <t>Denumire apel de finanțare</t>
  </si>
  <si>
    <t>Obiectivele apelului de finanțare</t>
  </si>
  <si>
    <t>Program</t>
  </si>
  <si>
    <t>Obiectivul de politică sau obiectivul specific vizat</t>
  </si>
  <si>
    <t>Data estimată de începere a perioadei de contractare</t>
  </si>
  <si>
    <t>Data estimată de finalizare a perioadei de contractare</t>
  </si>
  <si>
    <t>Tip apel
(competitiv/necompetitiv/
primul venit-primul servit)</t>
  </si>
  <si>
    <t xml:space="preserve">Zona geografică vizată </t>
  </si>
  <si>
    <t xml:space="preserve">Tipul de solicitanți eligibili / Beneficiari eligibili </t>
  </si>
  <si>
    <t>Data estimată de începere evaluare tehnică și financiară</t>
  </si>
  <si>
    <t>Data estimată de finalizare evaluare tehnică și financiară</t>
  </si>
  <si>
    <t>Data estimată de începere a perioadei de implementare a proiectelor</t>
  </si>
  <si>
    <t>Data estimată de finalizare a perioadei de implementare a proiectelor</t>
  </si>
  <si>
    <t>Buget total apel (euro)</t>
  </si>
  <si>
    <t>Din care buget UE apel (euro)</t>
  </si>
  <si>
    <t>Sursă de finanțare (tip fond)</t>
  </si>
  <si>
    <t xml:space="preserve">TOTAL </t>
  </si>
  <si>
    <t>PR S</t>
  </si>
  <si>
    <t>FEDR</t>
  </si>
  <si>
    <t>N/A</t>
  </si>
  <si>
    <t>FSE+</t>
  </si>
  <si>
    <t>Autorități publice centrale</t>
  </si>
  <si>
    <t xml:space="preserve">TOTAL PR </t>
  </si>
  <si>
    <t>PDD</t>
  </si>
  <si>
    <t xml:space="preserve">Dată ESTIMATĂ deschidere apel  </t>
  </si>
  <si>
    <t xml:space="preserve">Dată ESTIMATĂ închidere apel  </t>
  </si>
  <si>
    <t>P1 - Asigurarea funcționării sistemului de coordonare şi control al fondurilor FEDR, FC,
FSE+, FTJ şi gestionarea programelor</t>
  </si>
  <si>
    <t>Asigurarea unui personal calificat, capabil și motivat corespunzător, nu doar prin finanțarea cheltuielilor salariale aferente, ci și prin crearea cadrului logistic adecvat de lucru care să permită desfășurarea în bune condiții a activității de coordonare şi control FEDR, FSE+, FC, iar pentru FTJ numai pentru elementele orizontale ale sistemului de management si de control (SMC), precum și de gestionare a programelor derulate de MIPE, fără prioritate de AT, inclusiv POAT.</t>
  </si>
  <si>
    <t>Necompetitiv</t>
  </si>
  <si>
    <t>P2 - Îmbunătățirea capacității de gestionare și implementare şi asigurarea transparenţei
fondurilor FEDR, FC, FSE+, FTJ</t>
  </si>
  <si>
    <t>Asigurarea AT necesare derulării activităților de coordonare și control al fondurilor și de
gestionare a POAT, POS, PODD și POCIDIF 2021-2027.</t>
  </si>
  <si>
    <t>Asigurarea AT pentru implementarea Strategiilor ITI prevăzute în cadrul Acordului de Parteneriat</t>
  </si>
  <si>
    <t>ADI ITI aferente ITI-urilor prevăzute în AP</t>
  </si>
  <si>
    <t>Asigurarea AT pentru elaborarea altor strategii ITI și pentru operaționalizarea ADI ITI,  aferente</t>
  </si>
  <si>
    <t xml:space="preserve">ADI ITI </t>
  </si>
  <si>
    <t>Asigurarea AT pentru pregătirea de proiecte</t>
  </si>
  <si>
    <t>Asistenta tehnica</t>
  </si>
  <si>
    <t>PR NE</t>
  </si>
  <si>
    <t>PR SE</t>
  </si>
  <si>
    <t>PR SV</t>
  </si>
  <si>
    <t>PT V</t>
  </si>
  <si>
    <t>PR NV</t>
  </si>
  <si>
    <t>PR C</t>
  </si>
  <si>
    <t>PR BI</t>
  </si>
  <si>
    <t>PTJ</t>
  </si>
  <si>
    <t>PS</t>
  </si>
  <si>
    <t>PEO</t>
  </si>
  <si>
    <t>PIDS</t>
  </si>
  <si>
    <t>PT</t>
  </si>
  <si>
    <t>PAT</t>
  </si>
  <si>
    <t>PCIDIF</t>
  </si>
  <si>
    <t>Total nationale</t>
  </si>
  <si>
    <t>Nr. apeluri  deschise in 2023</t>
  </si>
  <si>
    <t xml:space="preserve">Nr. total apeluri planificate </t>
  </si>
  <si>
    <t xml:space="preserve">Buget UE apeluri 2023 (euro) </t>
  </si>
  <si>
    <t>Buget total Apeluri 2023  (euro)</t>
  </si>
  <si>
    <t>RO- Intreg teriroriul</t>
  </si>
  <si>
    <t>Row Labels</t>
  </si>
  <si>
    <t>Grand Total</t>
  </si>
  <si>
    <t xml:space="preserve">Nr. total apeluri planificate  </t>
  </si>
  <si>
    <t xml:space="preserve">Nr. apeluri  deschise in 2023  </t>
  </si>
  <si>
    <t xml:space="preserve">Buget UE apeluri 2023 (mil. euro) </t>
  </si>
  <si>
    <t>Buget total Apeluri 2023  (mil. euro)</t>
  </si>
  <si>
    <t>Sum of Buget total Apeluri 2023  (mil. euro)</t>
  </si>
  <si>
    <t xml:space="preserve">Sum of Buget UE apeluri 2023 (mil. euro) </t>
  </si>
  <si>
    <t>MIPE - AM POAT</t>
  </si>
  <si>
    <t xml:space="preserve">Autoritate de Management </t>
  </si>
  <si>
    <t xml:space="preserve">Programul Asistenta Tehnica </t>
  </si>
  <si>
    <t>Beneficiari PDD, PCIDIF, PS, PAT</t>
  </si>
  <si>
    <t>trim 3/2023</t>
  </si>
  <si>
    <t>trim 4/2023</t>
  </si>
  <si>
    <t>trim 1/2024</t>
  </si>
  <si>
    <t>trim 4/2024</t>
  </si>
  <si>
    <t>trim 4/2027</t>
  </si>
  <si>
    <t>trim 2/2025</t>
  </si>
  <si>
    <t>trim 4/2029</t>
  </si>
  <si>
    <t xml:space="preserve">5 APELURI </t>
  </si>
  <si>
    <r>
      <rPr>
        <b/>
        <sz val="16"/>
        <rFont val="Trebuchet MS"/>
        <family val="2"/>
      </rPr>
      <t>trim 1/2024</t>
    </r>
    <r>
      <rPr>
        <sz val="16"/>
        <rFont val="Trebuchet MS"/>
        <family val="2"/>
      </rPr>
      <t xml:space="preserve">
luând în calcul și posibilitatea depunerii la data închiderii apelului</t>
    </r>
  </si>
  <si>
    <r>
      <rPr>
        <b/>
        <sz val="16"/>
        <rFont val="Trebuchet MS"/>
        <family val="2"/>
      </rPr>
      <t>trim 4/2027</t>
    </r>
    <r>
      <rPr>
        <sz val="16"/>
        <rFont val="Trebuchet MS"/>
        <family val="2"/>
      </rPr>
      <t xml:space="preserve">
 in functie de procentul de utilizare a anvelopei financiare a P1, AM poate dispune diminuarea/prelungirea acestei perioade</t>
    </r>
  </si>
  <si>
    <r>
      <rPr>
        <b/>
        <sz val="16"/>
        <rFont val="Trebuchet MS"/>
        <family val="2"/>
      </rPr>
      <t>trim 4/2027</t>
    </r>
    <r>
      <rPr>
        <sz val="16"/>
        <rFont val="Trebuchet MS"/>
        <family val="2"/>
      </rPr>
      <t xml:space="preserve">
apel cu depunere continua, evaluarea se va finaliza si in functie de momentul depunerii proiectelor de catre Beneficiari</t>
    </r>
  </si>
  <si>
    <r>
      <rPr>
        <b/>
        <sz val="16"/>
        <rFont val="Trebuchet MS"/>
        <family val="2"/>
      </rPr>
      <t>trim 3/2024</t>
    </r>
    <r>
      <rPr>
        <sz val="16"/>
        <rFont val="Trebuchet MS"/>
        <family val="2"/>
      </rPr>
      <t xml:space="preserve"> 
apel cu depunere continua, evaluarea se va finaliza si in functie de momentul depunerii proiectelor de catre Beneficiari</t>
    </r>
  </si>
  <si>
    <r>
      <rPr>
        <b/>
        <sz val="16"/>
        <rFont val="Trebuchet MS"/>
        <family val="2"/>
      </rPr>
      <t>trim 1/2025</t>
    </r>
    <r>
      <rPr>
        <sz val="16"/>
        <rFont val="Trebuchet MS"/>
        <family val="2"/>
      </rPr>
      <t xml:space="preserve">
apel cu depunere continua, evaluarea se va finaliza si in functie de momentul depunerii proiectelor de catre Beneficiari</t>
    </r>
  </si>
  <si>
    <t>Calendar estimativ  lansare apeluri de proiecte in anul 2023
- PROGRAMUL ASISTENȚĂ TEHNICĂ 2021-2027 -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</si>
</sst>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418]mmmm\-yy;@"/>
  </numFmts>
  <fonts count="16"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0"/>
      <name val="Arial"/>
      <family val="2"/>
      <charset val="238"/>
    </font>
    <font>
      <sz val="14"/>
      <color theme="1"/>
      <name val="Calibri"/>
      <family val="2"/>
      <charset val="238"/>
      <scheme val="minor"/>
    </font>
    <font>
      <b/>
      <sz val="14"/>
      <color theme="1"/>
      <name val="Calibri"/>
      <family val="2"/>
      <scheme val="minor"/>
    </font>
    <font>
      <sz val="16"/>
      <name val="Trebuchet MS"/>
      <family val="2"/>
    </font>
    <font>
      <b/>
      <sz val="16"/>
      <name val="Trebuchet MS"/>
      <family val="2"/>
    </font>
    <font>
      <sz val="18"/>
      <name val="Trebuchet MS"/>
      <family val="2"/>
    </font>
    <font>
      <sz val="18"/>
      <color theme="1"/>
      <name val="Trebuchet MS"/>
      <family val="2"/>
    </font>
    <font>
      <b/>
      <sz val="18"/>
      <name val="Trebuchet MS"/>
      <family val="2"/>
    </font>
    <font>
      <b/>
      <sz val="18"/>
      <color rgb="FF000099"/>
      <name val="Trebuchet MS"/>
      <family val="2"/>
    </font>
    <font>
      <sz val="20"/>
      <color theme="7" tint="0.59999389629810485"/>
      <name val="Trebuchet MS"/>
      <family val="2"/>
    </font>
    <font>
      <b/>
      <sz val="20"/>
      <name val="Trebuchet MS"/>
      <family val="2"/>
    </font>
    <font>
      <b/>
      <sz val="24"/>
      <color rgb="FF000099"/>
      <name val="Trebuchet MS"/>
      <family val="2"/>
    </font>
    <font>
      <b/>
      <sz val="20"/>
      <color rgb="FF000099"/>
      <name val="Trebuchet MS"/>
      <family val="2"/>
    </font>
  </fonts>
  <fills count="7">
    <fill>
      <patternFill patternType="none"/>
    </fill>
    <fill>
      <patternFill patternType="gray125"/>
    </fill>
    <fill>
      <patternFill patternType="solid">
        <fgColor theme="7" tint="0.79998168889431442"/>
        <bgColor indexed="64"/>
      </patternFill>
    </fill>
    <fill>
      <patternFill patternType="solid">
        <fgColor theme="4"/>
        <bgColor indexed="64"/>
      </patternFill>
    </fill>
    <fill>
      <patternFill patternType="solid">
        <fgColor theme="9" tint="0.79998168889431442"/>
        <bgColor indexed="64"/>
      </patternFill>
    </fill>
    <fill>
      <patternFill patternType="solid">
        <fgColor rgb="FF92D050"/>
        <bgColor indexed="64"/>
      </patternFill>
    </fill>
    <fill>
      <patternFill patternType="solid">
        <fgColor theme="4"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medium">
        <color indexed="64"/>
      </top>
      <bottom/>
      <diagonal/>
    </border>
    <border>
      <left/>
      <right/>
      <top style="thin">
        <color indexed="64"/>
      </top>
      <bottom/>
      <diagonal/>
    </border>
  </borders>
  <cellStyleXfs count="8">
    <xf numFmtId="0" fontId="0" fillId="0" borderId="0"/>
    <xf numFmtId="0" fontId="2" fillId="0" borderId="0"/>
    <xf numFmtId="43" fontId="1" fillId="0" borderId="0" applyFont="0" applyFill="0" applyBorder="0" applyAlignment="0" applyProtection="0"/>
    <xf numFmtId="0" fontId="2" fillId="0" borderId="0"/>
    <xf numFmtId="164" fontId="2" fillId="0" borderId="0" applyFont="0" applyFill="0" applyBorder="0" applyAlignment="0" applyProtection="0"/>
    <xf numFmtId="0" fontId="1" fillId="0" borderId="0"/>
    <xf numFmtId="0" fontId="3" fillId="0" borderId="0"/>
    <xf numFmtId="0" fontId="2" fillId="0" borderId="0"/>
  </cellStyleXfs>
  <cellXfs count="43">
    <xf numFmtId="0" fontId="0" fillId="0" borderId="0" xfId="0"/>
    <xf numFmtId="0" fontId="0" fillId="0" borderId="0" xfId="0" pivotButton="1"/>
    <xf numFmtId="0" fontId="0" fillId="0" borderId="0" xfId="0" applyAlignment="1">
      <alignment horizontal="left"/>
    </xf>
    <xf numFmtId="0" fontId="4" fillId="0" borderId="1" xfId="0" applyFont="1" applyBorder="1" applyAlignment="1">
      <alignment horizontal="center" vertical="center" wrapText="1"/>
    </xf>
    <xf numFmtId="0" fontId="4" fillId="0" borderId="1" xfId="0" applyFont="1" applyBorder="1" applyAlignment="1">
      <alignment horizontal="center" vertical="top" wrapText="1"/>
    </xf>
    <xf numFmtId="0" fontId="5" fillId="0" borderId="1" xfId="0" applyFont="1" applyBorder="1" applyAlignment="1">
      <alignment horizontal="center" vertical="center" wrapText="1"/>
    </xf>
    <xf numFmtId="0" fontId="5" fillId="0" borderId="1" xfId="0" applyFont="1" applyBorder="1" applyAlignment="1">
      <alignment horizontal="center" vertical="top" wrapText="1"/>
    </xf>
    <xf numFmtId="0" fontId="5" fillId="2"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4" fontId="4" fillId="0" borderId="1" xfId="0" applyNumberFormat="1" applyFont="1" applyBorder="1" applyAlignment="1">
      <alignment horizontal="center" vertical="top"/>
    </xf>
    <xf numFmtId="4" fontId="5" fillId="2" borderId="1" xfId="0" applyNumberFormat="1" applyFont="1" applyFill="1" applyBorder="1" applyAlignment="1">
      <alignment horizontal="center" vertical="top"/>
    </xf>
    <xf numFmtId="3" fontId="4" fillId="0" borderId="1" xfId="0" applyNumberFormat="1" applyFont="1" applyBorder="1" applyAlignment="1">
      <alignment horizontal="center" vertical="top"/>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top" wrapText="1"/>
    </xf>
    <xf numFmtId="3" fontId="4" fillId="3" borderId="1" xfId="0" applyNumberFormat="1" applyFont="1" applyFill="1" applyBorder="1" applyAlignment="1">
      <alignment horizontal="center" vertical="top"/>
    </xf>
    <xf numFmtId="4" fontId="5" fillId="4" borderId="1" xfId="0" applyNumberFormat="1" applyFont="1" applyFill="1" applyBorder="1" applyAlignment="1">
      <alignment horizontal="center" vertical="center" wrapText="1"/>
    </xf>
    <xf numFmtId="1" fontId="0" fillId="0" borderId="0" xfId="0" applyNumberFormat="1"/>
    <xf numFmtId="0" fontId="8" fillId="0" borderId="0" xfId="0" applyFont="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3" fontId="9" fillId="0" borderId="0" xfId="0" applyNumberFormat="1" applyFont="1" applyAlignment="1">
      <alignment horizontal="center" vertical="center" wrapText="1"/>
    </xf>
    <xf numFmtId="14" fontId="9" fillId="0" borderId="0" xfId="0" applyNumberFormat="1" applyFont="1" applyAlignment="1">
      <alignment horizontal="center" vertical="center" wrapText="1"/>
    </xf>
    <xf numFmtId="14" fontId="9" fillId="0" borderId="0" xfId="0" applyNumberFormat="1" applyFont="1" applyAlignment="1">
      <alignment horizontal="center" vertical="center"/>
    </xf>
    <xf numFmtId="14" fontId="9" fillId="0" borderId="0" xfId="0" applyNumberFormat="1" applyFont="1" applyAlignment="1">
      <alignment horizontal="center" vertical="top" wrapText="1"/>
    </xf>
    <xf numFmtId="0" fontId="10" fillId="0" borderId="0" xfId="0" applyFont="1" applyAlignment="1">
      <alignment horizontal="center" vertical="center" wrapText="1"/>
    </xf>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xf>
    <xf numFmtId="3" fontId="10" fillId="4" borderId="1" xfId="0" applyNumberFormat="1" applyFont="1" applyFill="1" applyBorder="1" applyAlignment="1">
      <alignment horizontal="right" vertical="center" wrapText="1"/>
    </xf>
    <xf numFmtId="0" fontId="10" fillId="5" borderId="0" xfId="0" applyFont="1" applyFill="1" applyAlignment="1">
      <alignment horizontal="center" vertical="center" wrapText="1"/>
    </xf>
    <xf numFmtId="0" fontId="6" fillId="0" borderId="1" xfId="0" applyFont="1" applyBorder="1" applyAlignment="1">
      <alignment horizontal="center" vertical="center" wrapText="1"/>
    </xf>
    <xf numFmtId="3" fontId="6" fillId="0" borderId="1" xfId="0" applyNumberFormat="1" applyFont="1" applyBorder="1" applyAlignment="1">
      <alignment horizontal="right" vertical="center" wrapText="1"/>
    </xf>
    <xf numFmtId="0" fontId="6" fillId="0" borderId="0" xfId="0" applyFont="1" applyAlignment="1">
      <alignment horizontal="center" vertical="center" wrapText="1"/>
    </xf>
    <xf numFmtId="165" fontId="7" fillId="0" borderId="1" xfId="5" applyNumberFormat="1" applyFont="1" applyBorder="1" applyAlignment="1">
      <alignment horizontal="center" vertical="center" wrapText="1"/>
    </xf>
    <xf numFmtId="165" fontId="7" fillId="0" borderId="1" xfId="0" applyNumberFormat="1" applyFont="1" applyBorder="1" applyAlignment="1" applyProtection="1">
      <alignment horizontal="center" vertical="center"/>
      <protection locked="0"/>
    </xf>
    <xf numFmtId="165" fontId="7" fillId="0" borderId="1" xfId="0" applyNumberFormat="1" applyFont="1" applyBorder="1" applyAlignment="1">
      <alignment horizontal="center" vertical="center"/>
    </xf>
    <xf numFmtId="165" fontId="6" fillId="0" borderId="1" xfId="0" applyNumberFormat="1" applyFont="1" applyBorder="1" applyAlignment="1">
      <alignment horizontal="center" vertical="center" wrapText="1"/>
    </xf>
    <xf numFmtId="0" fontId="12" fillId="0" borderId="0" xfId="0" applyFont="1" applyAlignment="1">
      <alignment horizontal="center" vertical="center" wrapText="1"/>
    </xf>
    <xf numFmtId="0" fontId="13" fillId="6" borderId="2" xfId="0" applyFont="1" applyFill="1" applyBorder="1" applyAlignment="1">
      <alignment horizontal="center" vertical="center" wrapText="1"/>
    </xf>
    <xf numFmtId="3" fontId="13" fillId="6" borderId="2" xfId="0" applyNumberFormat="1" applyFont="1" applyFill="1" applyBorder="1" applyAlignment="1">
      <alignment horizontal="center" vertical="center" wrapText="1"/>
    </xf>
    <xf numFmtId="14" fontId="15" fillId="6" borderId="2" xfId="0" applyNumberFormat="1" applyFont="1" applyFill="1" applyBorder="1" applyAlignment="1">
      <alignment horizontal="center" vertical="center" wrapText="1"/>
    </xf>
    <xf numFmtId="14" fontId="15" fillId="6" borderId="2" xfId="0" applyNumberFormat="1" applyFont="1" applyFill="1" applyBorder="1" applyAlignment="1">
      <alignment horizontal="center" vertical="top" wrapText="1"/>
    </xf>
    <xf numFmtId="0" fontId="14" fillId="0" borderId="0" xfId="0" applyFont="1" applyAlignment="1">
      <alignment horizontal="center" vertical="center" wrapText="1"/>
    </xf>
    <xf numFmtId="0" fontId="11" fillId="0" borderId="3" xfId="0" applyFont="1" applyBorder="1" applyAlignment="1">
      <alignment horizontal="left" vertical="center" wrapText="1"/>
    </xf>
  </cellXfs>
  <cellStyles count="8">
    <cellStyle name="Comma 2" xfId="2" xr:uid="{00000000-0005-0000-0000-000001000000}"/>
    <cellStyle name="Comma 3" xfId="4" xr:uid="{00000000-0005-0000-0000-000002000000}"/>
    <cellStyle name="Normal" xfId="0" builtinId="0"/>
    <cellStyle name="Normal 2" xfId="1" xr:uid="{00000000-0005-0000-0000-000004000000}"/>
    <cellStyle name="Normal 2 2 2" xfId="6" xr:uid="{00000000-0005-0000-0000-000005000000}"/>
    <cellStyle name="Normal 2 3 3 2" xfId="7" xr:uid="{00000000-0005-0000-0000-000006000000}"/>
    <cellStyle name="Normal 2 3 5 2 3 2 2" xfId="5" xr:uid="{00000000-0005-0000-0000-000007000000}"/>
    <cellStyle name="Normal 26 2" xfId="3" xr:uid="{00000000-0005-0000-0000-000008000000}"/>
  </cellStyles>
  <dxfs count="1">
    <dxf>
      <numFmt numFmtId="1" formatCode="0"/>
    </dxf>
  </dxfs>
  <tableStyles count="0" defaultTableStyle="TableStyleMedium2" defaultPivotStyle="PivotStyleLight16"/>
  <colors>
    <mruColors>
      <color rgb="FF000099"/>
      <color rgb="FF006600"/>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[Calendar lansari apeluri 2023.xlsx]Sheet1Pivot chart 0!PivotTable3</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3990940671710434"/>
          <c:y val="0.14249781277340332"/>
          <c:w val="0.62199582937027353"/>
          <c:h val="0.54573818897637794"/>
        </c:manualLayout>
      </c:layout>
      <c:barChart>
        <c:barDir val="col"/>
        <c:grouping val="clustered"/>
        <c:varyColors val="0"/>
        <c:ser>
          <c:idx val="0"/>
          <c:order val="0"/>
          <c:tx>
            <c:strRef>
              <c:f>'Sheet1Pivot chart 0'!$B$3</c:f>
              <c:strCache>
                <c:ptCount val="1"/>
                <c:pt idx="0">
                  <c:v>Nr. total apeluri planificate  </c:v>
                </c:pt>
              </c:strCache>
            </c:strRef>
          </c:tx>
          <c:spPr>
            <a:solidFill>
              <a:schemeClr val="accent1"/>
            </a:solidFill>
            <a:ln>
              <a:noFill/>
            </a:ln>
            <a:effectLst/>
          </c:spPr>
          <c:invertIfNegative val="0"/>
          <c:cat>
            <c:strRef>
              <c:f>'Sheet1Pivot chart 0'!$A$4:$A$20</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0'!$B$4:$B$20</c:f>
              <c:numCache>
                <c:formatCode>General</c:formatCode>
                <c:ptCount val="16"/>
                <c:pt idx="0">
                  <c:v>5</c:v>
                </c:pt>
                <c:pt idx="1">
                  <c:v>20</c:v>
                </c:pt>
                <c:pt idx="2">
                  <c:v>16</c:v>
                </c:pt>
                <c:pt idx="3">
                  <c:v>59</c:v>
                </c:pt>
                <c:pt idx="4">
                  <c:v>28</c:v>
                </c:pt>
                <c:pt idx="5">
                  <c:v>28</c:v>
                </c:pt>
                <c:pt idx="6">
                  <c:v>35</c:v>
                </c:pt>
                <c:pt idx="7">
                  <c:v>40</c:v>
                </c:pt>
                <c:pt idx="8">
                  <c:v>45</c:v>
                </c:pt>
                <c:pt idx="9">
                  <c:v>25</c:v>
                </c:pt>
                <c:pt idx="10">
                  <c:v>57</c:v>
                </c:pt>
                <c:pt idx="11">
                  <c:v>29</c:v>
                </c:pt>
                <c:pt idx="12">
                  <c:v>97</c:v>
                </c:pt>
                <c:pt idx="13">
                  <c:v>15</c:v>
                </c:pt>
                <c:pt idx="15">
                  <c:v>94</c:v>
                </c:pt>
              </c:numCache>
            </c:numRef>
          </c:val>
          <c:extLst>
            <c:ext xmlns:c16="http://schemas.microsoft.com/office/drawing/2014/chart" uri="{C3380CC4-5D6E-409C-BE32-E72D297353CC}">
              <c16:uniqueId val="{00000010-B86B-411C-98C5-BBCA5F02F3A8}"/>
            </c:ext>
          </c:extLst>
        </c:ser>
        <c:ser>
          <c:idx val="1"/>
          <c:order val="1"/>
          <c:tx>
            <c:strRef>
              <c:f>'Sheet1Pivot chart 0'!$C$3</c:f>
              <c:strCache>
                <c:ptCount val="1"/>
                <c:pt idx="0">
                  <c:v>Nr. apeluri  deschise in 2023  </c:v>
                </c:pt>
              </c:strCache>
            </c:strRef>
          </c:tx>
          <c:spPr>
            <a:solidFill>
              <a:schemeClr val="accent2"/>
            </a:solidFill>
            <a:ln>
              <a:noFill/>
            </a:ln>
            <a:effectLst/>
          </c:spPr>
          <c:invertIfNegative val="0"/>
          <c:cat>
            <c:strRef>
              <c:f>'Sheet1Pivot chart 0'!$A$4:$A$20</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0'!$C$4:$C$20</c:f>
              <c:numCache>
                <c:formatCode>General</c:formatCode>
                <c:ptCount val="16"/>
                <c:pt idx="0">
                  <c:v>5</c:v>
                </c:pt>
                <c:pt idx="1">
                  <c:v>20</c:v>
                </c:pt>
                <c:pt idx="2">
                  <c:v>16</c:v>
                </c:pt>
                <c:pt idx="3">
                  <c:v>32</c:v>
                </c:pt>
                <c:pt idx="4">
                  <c:v>12</c:v>
                </c:pt>
                <c:pt idx="5">
                  <c:v>22</c:v>
                </c:pt>
                <c:pt idx="6">
                  <c:v>31</c:v>
                </c:pt>
                <c:pt idx="7">
                  <c:v>17</c:v>
                </c:pt>
                <c:pt idx="8">
                  <c:v>45</c:v>
                </c:pt>
                <c:pt idx="9">
                  <c:v>24</c:v>
                </c:pt>
                <c:pt idx="10">
                  <c:v>53</c:v>
                </c:pt>
                <c:pt idx="11">
                  <c:v>26</c:v>
                </c:pt>
                <c:pt idx="12">
                  <c:v>63</c:v>
                </c:pt>
                <c:pt idx="13">
                  <c:v>15</c:v>
                </c:pt>
                <c:pt idx="15">
                  <c:v>94</c:v>
                </c:pt>
              </c:numCache>
            </c:numRef>
          </c:val>
          <c:extLst>
            <c:ext xmlns:c16="http://schemas.microsoft.com/office/drawing/2014/chart" uri="{C3380CC4-5D6E-409C-BE32-E72D297353CC}">
              <c16:uniqueId val="{00000011-B86B-411C-98C5-BBCA5F02F3A8}"/>
            </c:ext>
          </c:extLst>
        </c:ser>
        <c:dLbls>
          <c:showLegendKey val="0"/>
          <c:showVal val="0"/>
          <c:showCatName val="0"/>
          <c:showSerName val="0"/>
          <c:showPercent val="0"/>
          <c:showBubbleSize val="0"/>
        </c:dLbls>
        <c:gapWidth val="219"/>
        <c:overlap val="-27"/>
        <c:axId val="180313496"/>
        <c:axId val="262419792"/>
      </c:barChart>
      <c:catAx>
        <c:axId val="180313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o-RO"/>
          </a:p>
        </c:txPr>
        <c:crossAx val="262419792"/>
        <c:crosses val="autoZero"/>
        <c:auto val="1"/>
        <c:lblAlgn val="ctr"/>
        <c:lblOffset val="100"/>
        <c:noMultiLvlLbl val="0"/>
      </c:catAx>
      <c:valAx>
        <c:axId val="2624197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o-RO"/>
          </a:p>
        </c:txPr>
        <c:crossAx val="1803134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ro-RO"/>
          </a:p>
        </c:txPr>
      </c:dTable>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o-R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o-R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[Calendar lansari apeluri 2023.xlsx]Sheet1Pivot chart 0!PivotTable4</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9576516422779491"/>
          <c:y val="6.4675657190958039E-2"/>
          <c:w val="0.66315187501711315"/>
          <c:h val="0.70862494081335603"/>
        </c:manualLayout>
      </c:layout>
      <c:barChart>
        <c:barDir val="col"/>
        <c:grouping val="clustered"/>
        <c:varyColors val="0"/>
        <c:ser>
          <c:idx val="0"/>
          <c:order val="0"/>
          <c:tx>
            <c:strRef>
              <c:f>'Sheet1Pivot chart 0'!$G$22</c:f>
              <c:strCache>
                <c:ptCount val="1"/>
                <c:pt idx="0">
                  <c:v>Sum of Buget total Apeluri 2023  (mil. euro)</c:v>
                </c:pt>
              </c:strCache>
            </c:strRef>
          </c:tx>
          <c:spPr>
            <a:solidFill>
              <a:schemeClr val="accent1"/>
            </a:solidFill>
            <a:ln>
              <a:noFill/>
            </a:ln>
            <a:effectLst/>
          </c:spPr>
          <c:invertIfNegative val="0"/>
          <c:cat>
            <c:strRef>
              <c:f>'Sheet1Pivot chart 0'!$F$23:$F$39</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0'!$G$23:$G$39</c:f>
              <c:numCache>
                <c:formatCode>0</c:formatCode>
                <c:ptCount val="16"/>
                <c:pt idx="0">
                  <c:v>959.43086400000004</c:v>
                </c:pt>
                <c:pt idx="1">
                  <c:v>1953.4533220000001</c:v>
                </c:pt>
                <c:pt idx="2">
                  <c:v>5254.2033190000002</c:v>
                </c:pt>
                <c:pt idx="3">
                  <c:v>1913.53927862975</c:v>
                </c:pt>
                <c:pt idx="4">
                  <c:v>1128.1608819999999</c:v>
                </c:pt>
                <c:pt idx="5">
                  <c:v>1298.1652005000001</c:v>
                </c:pt>
                <c:pt idx="6">
                  <c:v>1245.36919464882</c:v>
                </c:pt>
                <c:pt idx="7">
                  <c:v>958.8</c:v>
                </c:pt>
                <c:pt idx="8">
                  <c:v>1312.4111618499999</c:v>
                </c:pt>
                <c:pt idx="9">
                  <c:v>1292.5776103399999</c:v>
                </c:pt>
                <c:pt idx="10">
                  <c:v>1273.0753087058799</c:v>
                </c:pt>
                <c:pt idx="11">
                  <c:v>1093.3688629999999</c:v>
                </c:pt>
                <c:pt idx="12">
                  <c:v>5470.8015566496697</c:v>
                </c:pt>
                <c:pt idx="13">
                  <c:v>9626.2365348799995</c:v>
                </c:pt>
                <c:pt idx="15">
                  <c:v>2530.738057</c:v>
                </c:pt>
              </c:numCache>
            </c:numRef>
          </c:val>
          <c:extLst>
            <c:ext xmlns:c16="http://schemas.microsoft.com/office/drawing/2014/chart" uri="{C3380CC4-5D6E-409C-BE32-E72D297353CC}">
              <c16:uniqueId val="{00000003-50B3-4E0A-9B47-2586A6A47B65}"/>
            </c:ext>
          </c:extLst>
        </c:ser>
        <c:ser>
          <c:idx val="1"/>
          <c:order val="1"/>
          <c:tx>
            <c:strRef>
              <c:f>'Sheet1Pivot chart 0'!$H$22</c:f>
              <c:strCache>
                <c:ptCount val="1"/>
                <c:pt idx="0">
                  <c:v>Sum of Buget UE apeluri 2023 (mil. euro) </c:v>
                </c:pt>
              </c:strCache>
            </c:strRef>
          </c:tx>
          <c:spPr>
            <a:solidFill>
              <a:schemeClr val="accent2"/>
            </a:solidFill>
            <a:ln>
              <a:noFill/>
            </a:ln>
            <a:effectLst/>
          </c:spPr>
          <c:invertIfNegative val="0"/>
          <c:cat>
            <c:strRef>
              <c:f>'Sheet1Pivot chart 0'!$F$23:$F$39</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0'!$H$23:$H$39</c:f>
              <c:numCache>
                <c:formatCode>0</c:formatCode>
                <c:ptCount val="16"/>
                <c:pt idx="0">
                  <c:v>457.48787299999998</c:v>
                </c:pt>
                <c:pt idx="1">
                  <c:v>1464.0072379999999</c:v>
                </c:pt>
                <c:pt idx="2">
                  <c:v>4044.0736459999998</c:v>
                </c:pt>
                <c:pt idx="3">
                  <c:v>1559.902728</c:v>
                </c:pt>
                <c:pt idx="4">
                  <c:v>880.83</c:v>
                </c:pt>
                <c:pt idx="5">
                  <c:v>519.26607960000001</c:v>
                </c:pt>
                <c:pt idx="6">
                  <c:v>1033.840453</c:v>
                </c:pt>
                <c:pt idx="7">
                  <c:v>797.14</c:v>
                </c:pt>
                <c:pt idx="8">
                  <c:v>1092.579518</c:v>
                </c:pt>
                <c:pt idx="9">
                  <c:v>1070.5328149239999</c:v>
                </c:pt>
                <c:pt idx="10">
                  <c:v>1055.4144510000001</c:v>
                </c:pt>
                <c:pt idx="11">
                  <c:v>910.62470499999995</c:v>
                </c:pt>
                <c:pt idx="12">
                  <c:v>1955.51239259</c:v>
                </c:pt>
                <c:pt idx="13">
                  <c:v>4650.5153259999997</c:v>
                </c:pt>
                <c:pt idx="15">
                  <c:v>2139.7155298100001</c:v>
                </c:pt>
              </c:numCache>
            </c:numRef>
          </c:val>
          <c:extLst>
            <c:ext xmlns:c16="http://schemas.microsoft.com/office/drawing/2014/chart" uri="{C3380CC4-5D6E-409C-BE32-E72D297353CC}">
              <c16:uniqueId val="{00000004-50B3-4E0A-9B47-2586A6A47B65}"/>
            </c:ext>
          </c:extLst>
        </c:ser>
        <c:dLbls>
          <c:showLegendKey val="0"/>
          <c:showVal val="0"/>
          <c:showCatName val="0"/>
          <c:showSerName val="0"/>
          <c:showPercent val="0"/>
          <c:showBubbleSize val="0"/>
        </c:dLbls>
        <c:gapWidth val="219"/>
        <c:overlap val="-27"/>
        <c:axId val="272187728"/>
        <c:axId val="272188120"/>
      </c:barChart>
      <c:catAx>
        <c:axId val="272187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o-RO"/>
          </a:p>
        </c:txPr>
        <c:crossAx val="272188120"/>
        <c:crosses val="autoZero"/>
        <c:auto val="1"/>
        <c:lblAlgn val="ctr"/>
        <c:lblOffset val="100"/>
        <c:noMultiLvlLbl val="0"/>
      </c:catAx>
      <c:valAx>
        <c:axId val="2721881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o-RO"/>
          </a:p>
        </c:txPr>
        <c:crossAx val="27218772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ro-RO"/>
          </a:p>
        </c:txPr>
      </c:dTable>
      <c:spPr>
        <a:noFill/>
        <a:ln>
          <a:noFill/>
        </a:ln>
        <a:effectLst/>
      </c:spPr>
    </c:plotArea>
    <c:legend>
      <c:legendPos val="r"/>
      <c:layout>
        <c:manualLayout>
          <c:xMode val="edge"/>
          <c:yMode val="edge"/>
          <c:x val="0.88550976080090205"/>
          <c:y val="0.42831512430656637"/>
          <c:w val="0.10859488179305514"/>
          <c:h val="0.3601477766281441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o-R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o-R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6</xdr:col>
      <xdr:colOff>3956277</xdr:colOff>
      <xdr:row>1</xdr:row>
      <xdr:rowOff>23132</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0875" y="0"/>
          <a:ext cx="12028715" cy="14756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66676</xdr:colOff>
      <xdr:row>5</xdr:row>
      <xdr:rowOff>0</xdr:rowOff>
    </xdr:from>
    <xdr:to>
      <xdr:col>8</xdr:col>
      <xdr:colOff>504825</xdr:colOff>
      <xdr:row>19</xdr:row>
      <xdr:rowOff>76200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400050</xdr:colOff>
      <xdr:row>19</xdr:row>
      <xdr:rowOff>95249</xdr:rowOff>
    </xdr:from>
    <xdr:to>
      <xdr:col>8</xdr:col>
      <xdr:colOff>504825</xdr:colOff>
      <xdr:row>41</xdr:row>
      <xdr:rowOff>180974</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aura Elena Marinas" refreshedDate="44964.815813310182" createdVersion="6" refreshedVersion="6" minRefreshableVersion="3" recordCount="16" xr:uid="{00000000-000A-0000-FFFF-FFFF01000000}">
  <cacheSource type="worksheet">
    <worksheetSource ref="A1:E17" sheet="Sheet9"/>
  </cacheSource>
  <cacheFields count="5">
    <cacheField name="Program" numFmtId="0">
      <sharedItems count="16">
        <s v="PR NE"/>
        <s v="PR SE"/>
        <s v="PR S"/>
        <s v="PR SV"/>
        <s v="PT V"/>
        <s v="PR NV"/>
        <s v="PR C"/>
        <s v="PR BI"/>
        <s v="PTJ"/>
        <s v="PS"/>
        <s v="PCIDIF"/>
        <s v="PEO"/>
        <s v="PIDS"/>
        <s v="PDD"/>
        <s v="PT"/>
        <s v="PAT"/>
      </sharedItems>
    </cacheField>
    <cacheField name="Nr. total apeluri planificate " numFmtId="0">
      <sharedItems containsString="0" containsBlank="1" containsNumber="1" containsInteger="1" minValue="5" maxValue="97"/>
    </cacheField>
    <cacheField name="Nr. apeluri  deschise in 2023" numFmtId="0">
      <sharedItems containsString="0" containsBlank="1" containsNumber="1" containsInteger="1" minValue="5" maxValue="94"/>
    </cacheField>
    <cacheField name="Buget total Apeluri 2023  (mil. euro)" numFmtId="3">
      <sharedItems containsString="0" containsBlank="1" containsNumber="1" minValue="958.8" maxValue="9626.2365348799995"/>
    </cacheField>
    <cacheField name="Buget UE apeluri 2023 (mil. euro) " numFmtId="3">
      <sharedItems containsString="0" containsBlank="1" containsNumber="1" minValue="457.48787299999998" maxValue="4650.515325999999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6">
  <r>
    <x v="0"/>
    <n v="40"/>
    <n v="17"/>
    <n v="958.8"/>
    <n v="797.14"/>
  </r>
  <r>
    <x v="1"/>
    <n v="57"/>
    <n v="53"/>
    <n v="1273.0753087058799"/>
    <n v="1055.4144510000001"/>
  </r>
  <r>
    <x v="2"/>
    <n v="25"/>
    <n v="24"/>
    <n v="1292.5776103399999"/>
    <n v="1070.5328149239999"/>
  </r>
  <r>
    <x v="3"/>
    <n v="29"/>
    <n v="26"/>
    <n v="1093.3688629999999"/>
    <n v="910.62470499999995"/>
  </r>
  <r>
    <x v="4"/>
    <m/>
    <m/>
    <m/>
    <m/>
  </r>
  <r>
    <x v="5"/>
    <n v="45"/>
    <n v="45"/>
    <n v="1312.4111618499999"/>
    <n v="1092.579518"/>
  </r>
  <r>
    <x v="6"/>
    <n v="35"/>
    <n v="31"/>
    <n v="1245.36919464882"/>
    <n v="1033.840453"/>
  </r>
  <r>
    <x v="7"/>
    <n v="28"/>
    <n v="22"/>
    <n v="1298.1652005000001"/>
    <n v="519.26607960000001"/>
  </r>
  <r>
    <x v="8"/>
    <n v="94"/>
    <n v="94"/>
    <n v="2530.738057"/>
    <n v="2139.7155298100001"/>
  </r>
  <r>
    <x v="9"/>
    <n v="97"/>
    <n v="63"/>
    <n v="5470.8015566496697"/>
    <n v="1955.51239259"/>
  </r>
  <r>
    <x v="10"/>
    <n v="20"/>
    <n v="20"/>
    <n v="1953.4533220000001"/>
    <n v="1464.0072379999999"/>
  </r>
  <r>
    <x v="11"/>
    <n v="59"/>
    <n v="32"/>
    <n v="1913.53927862975"/>
    <n v="1559.902728"/>
  </r>
  <r>
    <x v="12"/>
    <n v="28"/>
    <n v="12"/>
    <n v="1128.1608819999999"/>
    <n v="880.83"/>
  </r>
  <r>
    <x v="13"/>
    <n v="16"/>
    <n v="16"/>
    <n v="5254.2033190000002"/>
    <n v="4044.0736459999998"/>
  </r>
  <r>
    <x v="14"/>
    <n v="15"/>
    <n v="15"/>
    <n v="9626.2365348799995"/>
    <n v="4650.5153259999997"/>
  </r>
  <r>
    <x v="15"/>
    <n v="5"/>
    <n v="5"/>
    <n v="959.43086400000004"/>
    <n v="457.4878729999999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300-000001000000}" name="PivotTable4" cacheId="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F22:H39" firstHeaderRow="0" firstDataRow="1" firstDataCol="1"/>
  <pivotFields count="5">
    <pivotField axis="axisRow" showAll="0">
      <items count="17">
        <item x="15"/>
        <item x="10"/>
        <item x="13"/>
        <item x="11"/>
        <item x="12"/>
        <item x="7"/>
        <item x="6"/>
        <item x="0"/>
        <item x="5"/>
        <item x="2"/>
        <item x="1"/>
        <item x="3"/>
        <item x="9"/>
        <item x="14"/>
        <item x="4"/>
        <item x="8"/>
        <item t="default"/>
      </items>
    </pivotField>
    <pivotField showAll="0"/>
    <pivotField showAll="0"/>
    <pivotField dataField="1" showAll="0" defaultSubtotal="0"/>
    <pivotField dataField="1" showAll="0" defaultSubtotal="0"/>
  </pivotFields>
  <rowFields count="1">
    <field x="0"/>
  </rowFields>
  <rowItems count="17">
    <i>
      <x/>
    </i>
    <i>
      <x v="1"/>
    </i>
    <i>
      <x v="2"/>
    </i>
    <i>
      <x v="3"/>
    </i>
    <i>
      <x v="4"/>
    </i>
    <i>
      <x v="5"/>
    </i>
    <i>
      <x v="6"/>
    </i>
    <i>
      <x v="7"/>
    </i>
    <i>
      <x v="8"/>
    </i>
    <i>
      <x v="9"/>
    </i>
    <i>
      <x v="10"/>
    </i>
    <i>
      <x v="11"/>
    </i>
    <i>
      <x v="12"/>
    </i>
    <i>
      <x v="13"/>
    </i>
    <i>
      <x v="14"/>
    </i>
    <i>
      <x v="15"/>
    </i>
    <i t="grand">
      <x/>
    </i>
  </rowItems>
  <colFields count="1">
    <field x="-2"/>
  </colFields>
  <colItems count="2">
    <i>
      <x/>
    </i>
    <i i="1">
      <x v="1"/>
    </i>
  </colItems>
  <dataFields count="2">
    <dataField name="Sum of Buget total Apeluri 2023  (mil. euro)" fld="3" baseField="0" baseItem="1"/>
    <dataField name="Sum of Buget UE apeluri 2023 (mil. euro) " fld="4" baseField="0" baseItem="1"/>
  </dataFields>
  <formats count="1">
    <format dxfId="0">
      <pivotArea outline="0" collapsedLevelsAreSubtotals="1" fieldPosition="0"/>
    </format>
  </formats>
  <chartFormats count="2">
    <chartFormat chart="0" format="3" series="1">
      <pivotArea type="data" outline="0" fieldPosition="0">
        <references count="1">
          <reference field="4294967294" count="1" selected="0">
            <x v="0"/>
          </reference>
        </references>
      </pivotArea>
    </chartFormat>
    <chartFormat chart="0" format="4"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le3" cacheId="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A3:C20" firstHeaderRow="0" firstDataRow="1" firstDataCol="1"/>
  <pivotFields count="5">
    <pivotField axis="axisRow" showAll="0">
      <items count="17">
        <item x="15"/>
        <item x="10"/>
        <item x="13"/>
        <item x="11"/>
        <item x="12"/>
        <item x="7"/>
        <item x="6"/>
        <item x="0"/>
        <item x="5"/>
        <item x="2"/>
        <item x="1"/>
        <item x="3"/>
        <item x="9"/>
        <item x="14"/>
        <item x="4"/>
        <item x="8"/>
        <item t="default"/>
      </items>
    </pivotField>
    <pivotField dataField="1" showAll="0"/>
    <pivotField dataField="1" showAll="0"/>
    <pivotField showAll="0" defaultSubtotal="0"/>
    <pivotField showAll="0" defaultSubtotal="0"/>
  </pivotFields>
  <rowFields count="1">
    <field x="0"/>
  </rowFields>
  <rowItems count="17">
    <i>
      <x/>
    </i>
    <i>
      <x v="1"/>
    </i>
    <i>
      <x v="2"/>
    </i>
    <i>
      <x v="3"/>
    </i>
    <i>
      <x v="4"/>
    </i>
    <i>
      <x v="5"/>
    </i>
    <i>
      <x v="6"/>
    </i>
    <i>
      <x v="7"/>
    </i>
    <i>
      <x v="8"/>
    </i>
    <i>
      <x v="9"/>
    </i>
    <i>
      <x v="10"/>
    </i>
    <i>
      <x v="11"/>
    </i>
    <i>
      <x v="12"/>
    </i>
    <i>
      <x v="13"/>
    </i>
    <i>
      <x v="14"/>
    </i>
    <i>
      <x v="15"/>
    </i>
    <i t="grand">
      <x/>
    </i>
  </rowItems>
  <colFields count="1">
    <field x="-2"/>
  </colFields>
  <colItems count="2">
    <i>
      <x/>
    </i>
    <i i="1">
      <x v="1"/>
    </i>
  </colItems>
  <dataFields count="2">
    <dataField name="Nr. total apeluri planificate  " fld="1" baseField="0" baseItem="0"/>
    <dataField name="Nr. apeluri  deschise in 2023  " fld="2" baseField="0" baseItem="0"/>
  </dataFields>
  <chartFormats count="2">
    <chartFormat chart="0" format="16" series="1">
      <pivotArea type="data" outline="0" fieldPosition="0">
        <references count="1">
          <reference field="4294967294" count="1" selected="0">
            <x v="0"/>
          </reference>
        </references>
      </pivotArea>
    </chartFormat>
    <chartFormat chart="0" format="17"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3"/>
  <sheetViews>
    <sheetView tabSelected="1" view="pageBreakPreview" topLeftCell="G1" zoomScale="50" zoomScaleNormal="70" zoomScaleSheetLayoutView="50" workbookViewId="0">
      <pane ySplit="6" topLeftCell="A7" activePane="bottomLeft" state="frozen"/>
      <selection pane="bottomLeft" activeCell="J12" sqref="J12"/>
    </sheetView>
  </sheetViews>
  <sheetFormatPr defaultColWidth="9.140625" defaultRowHeight="160.5" customHeight="1" x14ac:dyDescent="0.25"/>
  <cols>
    <col min="1" max="1" width="12.7109375" style="18" customWidth="1"/>
    <col min="2" max="2" width="10.28515625" style="17" customWidth="1"/>
    <col min="3" max="3" width="24.7109375" style="18" customWidth="1"/>
    <col min="4" max="4" width="35.5703125" style="18" customWidth="1"/>
    <col min="5" max="5" width="26" style="18" customWidth="1"/>
    <col min="6" max="6" width="59.140625" style="18" customWidth="1"/>
    <col min="7" max="7" width="61.85546875" style="18" customWidth="1"/>
    <col min="8" max="8" width="25.5703125" style="19" customWidth="1"/>
    <col min="9" max="9" width="29.42578125" style="18" customWidth="1"/>
    <col min="10" max="10" width="34.42578125" style="20" customWidth="1"/>
    <col min="11" max="11" width="33" style="20" customWidth="1"/>
    <col min="12" max="12" width="29" style="18" customWidth="1"/>
    <col min="13" max="13" width="73.5703125" style="18" customWidth="1"/>
    <col min="14" max="14" width="28" style="18" customWidth="1"/>
    <col min="15" max="15" width="26.7109375" style="21" customWidth="1"/>
    <col min="16" max="16" width="25.5703125" style="22" customWidth="1"/>
    <col min="17" max="17" width="27" style="22" customWidth="1"/>
    <col min="18" max="18" width="36.42578125" style="22" customWidth="1"/>
    <col min="19" max="19" width="29.140625" style="22" customWidth="1"/>
    <col min="20" max="20" width="29.85546875" style="22" customWidth="1"/>
    <col min="21" max="21" width="35.28515625" style="21" customWidth="1"/>
    <col min="22" max="22" width="37.7109375" style="23" customWidth="1"/>
    <col min="23" max="16384" width="9.140625" style="18"/>
  </cols>
  <sheetData>
    <row r="1" spans="1:22" ht="114.75" customHeight="1" x14ac:dyDescent="0.25"/>
    <row r="2" spans="1:22" ht="23.25" x14ac:dyDescent="0.25"/>
    <row r="3" spans="1:22" ht="93.75" customHeight="1" x14ac:dyDescent="0.25">
      <c r="D3" s="41" t="s">
        <v>84</v>
      </c>
      <c r="E3" s="41"/>
      <c r="F3" s="41"/>
      <c r="G3" s="41"/>
      <c r="H3" s="41"/>
      <c r="I3" s="41"/>
      <c r="J3" s="41"/>
      <c r="K3" s="41"/>
      <c r="L3" s="41"/>
    </row>
    <row r="4" spans="1:22" ht="23.25" x14ac:dyDescent="0.25"/>
    <row r="5" spans="1:22" ht="24" thickBot="1" x14ac:dyDescent="0.3"/>
    <row r="6" spans="1:22" s="36" customFormat="1" ht="166.5" x14ac:dyDescent="0.25">
      <c r="B6" s="37" t="s">
        <v>0</v>
      </c>
      <c r="C6" s="37" t="s">
        <v>4</v>
      </c>
      <c r="D6" s="37" t="s">
        <v>68</v>
      </c>
      <c r="E6" s="37" t="s">
        <v>1</v>
      </c>
      <c r="F6" s="37" t="s">
        <v>2</v>
      </c>
      <c r="G6" s="37" t="s">
        <v>3</v>
      </c>
      <c r="H6" s="37" t="s">
        <v>5</v>
      </c>
      <c r="I6" s="37" t="s">
        <v>9</v>
      </c>
      <c r="J6" s="38" t="s">
        <v>15</v>
      </c>
      <c r="K6" s="38" t="s">
        <v>16</v>
      </c>
      <c r="L6" s="37" t="s">
        <v>17</v>
      </c>
      <c r="M6" s="37" t="s">
        <v>10</v>
      </c>
      <c r="N6" s="37" t="s">
        <v>8</v>
      </c>
      <c r="O6" s="37" t="s">
        <v>26</v>
      </c>
      <c r="P6" s="37" t="s">
        <v>27</v>
      </c>
      <c r="Q6" s="39" t="s">
        <v>11</v>
      </c>
      <c r="R6" s="39" t="s">
        <v>12</v>
      </c>
      <c r="S6" s="39" t="s">
        <v>6</v>
      </c>
      <c r="T6" s="39" t="s">
        <v>7</v>
      </c>
      <c r="U6" s="39" t="s">
        <v>13</v>
      </c>
      <c r="V6" s="40" t="s">
        <v>14</v>
      </c>
    </row>
    <row r="7" spans="1:22" s="31" customFormat="1" ht="326.25" customHeight="1" x14ac:dyDescent="0.25">
      <c r="B7" s="29">
        <v>1</v>
      </c>
      <c r="C7" s="29" t="s">
        <v>69</v>
      </c>
      <c r="D7" s="29" t="s">
        <v>67</v>
      </c>
      <c r="E7" s="29" t="s">
        <v>38</v>
      </c>
      <c r="F7" s="29" t="s">
        <v>28</v>
      </c>
      <c r="G7" s="29" t="s">
        <v>29</v>
      </c>
      <c r="H7" s="29" t="s">
        <v>21</v>
      </c>
      <c r="I7" s="29" t="s">
        <v>58</v>
      </c>
      <c r="J7" s="30">
        <v>573236366</v>
      </c>
      <c r="K7" s="30">
        <v>254169243</v>
      </c>
      <c r="L7" s="29" t="s">
        <v>20</v>
      </c>
      <c r="M7" s="29" t="s">
        <v>23</v>
      </c>
      <c r="N7" s="29" t="s">
        <v>30</v>
      </c>
      <c r="O7" s="34" t="s">
        <v>71</v>
      </c>
      <c r="P7" s="33" t="s">
        <v>72</v>
      </c>
      <c r="Q7" s="33" t="s">
        <v>71</v>
      </c>
      <c r="R7" s="35" t="s">
        <v>79</v>
      </c>
      <c r="S7" s="33" t="s">
        <v>72</v>
      </c>
      <c r="T7" s="33" t="s">
        <v>73</v>
      </c>
      <c r="U7" s="35">
        <v>44197</v>
      </c>
      <c r="V7" s="35" t="s">
        <v>80</v>
      </c>
    </row>
    <row r="8" spans="1:22" s="31" customFormat="1" ht="160.5" customHeight="1" x14ac:dyDescent="0.25">
      <c r="B8" s="29">
        <v>2</v>
      </c>
      <c r="C8" s="29" t="s">
        <v>69</v>
      </c>
      <c r="D8" s="29" t="s">
        <v>67</v>
      </c>
      <c r="E8" s="29" t="s">
        <v>38</v>
      </c>
      <c r="F8" s="29" t="s">
        <v>31</v>
      </c>
      <c r="G8" s="29" t="s">
        <v>32</v>
      </c>
      <c r="H8" s="29" t="s">
        <v>21</v>
      </c>
      <c r="I8" s="29" t="s">
        <v>58</v>
      </c>
      <c r="J8" s="30">
        <v>271621771</v>
      </c>
      <c r="K8" s="30">
        <v>142538630</v>
      </c>
      <c r="L8" s="29" t="s">
        <v>22</v>
      </c>
      <c r="M8" s="29" t="s">
        <v>23</v>
      </c>
      <c r="N8" s="29" t="s">
        <v>30</v>
      </c>
      <c r="O8" s="34" t="s">
        <v>71</v>
      </c>
      <c r="P8" s="32" t="s">
        <v>75</v>
      </c>
      <c r="Q8" s="33" t="s">
        <v>71</v>
      </c>
      <c r="R8" s="35" t="s">
        <v>81</v>
      </c>
      <c r="S8" s="33" t="s">
        <v>72</v>
      </c>
      <c r="T8" s="33" t="s">
        <v>75</v>
      </c>
      <c r="U8" s="35">
        <v>44197</v>
      </c>
      <c r="V8" s="33" t="s">
        <v>77</v>
      </c>
    </row>
    <row r="9" spans="1:22" s="31" customFormat="1" ht="160.5" customHeight="1" x14ac:dyDescent="0.25">
      <c r="B9" s="29">
        <v>3</v>
      </c>
      <c r="C9" s="29" t="s">
        <v>69</v>
      </c>
      <c r="D9" s="29" t="s">
        <v>67</v>
      </c>
      <c r="E9" s="29" t="s">
        <v>38</v>
      </c>
      <c r="F9" s="29" t="s">
        <v>31</v>
      </c>
      <c r="G9" s="29" t="s">
        <v>33</v>
      </c>
      <c r="H9" s="29" t="s">
        <v>21</v>
      </c>
      <c r="I9" s="29" t="s">
        <v>58</v>
      </c>
      <c r="J9" s="30">
        <v>10000000</v>
      </c>
      <c r="K9" s="30">
        <f>J9*0.55</f>
        <v>5500000</v>
      </c>
      <c r="L9" s="29" t="s">
        <v>22</v>
      </c>
      <c r="M9" s="29" t="s">
        <v>34</v>
      </c>
      <c r="N9" s="29" t="s">
        <v>30</v>
      </c>
      <c r="O9" s="32" t="s">
        <v>71</v>
      </c>
      <c r="P9" s="34" t="s">
        <v>74</v>
      </c>
      <c r="Q9" s="33" t="s">
        <v>72</v>
      </c>
      <c r="R9" s="35" t="s">
        <v>82</v>
      </c>
      <c r="S9" s="33" t="s">
        <v>72</v>
      </c>
      <c r="T9" s="33" t="s">
        <v>74</v>
      </c>
      <c r="U9" s="35">
        <v>44197</v>
      </c>
      <c r="V9" s="33" t="s">
        <v>77</v>
      </c>
    </row>
    <row r="10" spans="1:22" s="31" customFormat="1" ht="160.5" customHeight="1" x14ac:dyDescent="0.25">
      <c r="B10" s="29">
        <v>4</v>
      </c>
      <c r="C10" s="29" t="s">
        <v>69</v>
      </c>
      <c r="D10" s="29" t="s">
        <v>67</v>
      </c>
      <c r="E10" s="29" t="s">
        <v>38</v>
      </c>
      <c r="F10" s="29" t="s">
        <v>31</v>
      </c>
      <c r="G10" s="29" t="s">
        <v>35</v>
      </c>
      <c r="H10" s="29" t="s">
        <v>21</v>
      </c>
      <c r="I10" s="29" t="s">
        <v>58</v>
      </c>
      <c r="J10" s="30">
        <v>9600000</v>
      </c>
      <c r="K10" s="30">
        <f>J10*0.55</f>
        <v>5280000</v>
      </c>
      <c r="L10" s="29" t="s">
        <v>22</v>
      </c>
      <c r="M10" s="29" t="s">
        <v>36</v>
      </c>
      <c r="N10" s="29" t="s">
        <v>30</v>
      </c>
      <c r="O10" s="32" t="s">
        <v>71</v>
      </c>
      <c r="P10" s="34" t="s">
        <v>74</v>
      </c>
      <c r="Q10" s="33" t="s">
        <v>72</v>
      </c>
      <c r="R10" s="35" t="s">
        <v>82</v>
      </c>
      <c r="S10" s="33" t="s">
        <v>72</v>
      </c>
      <c r="T10" s="33" t="s">
        <v>74</v>
      </c>
      <c r="U10" s="35">
        <v>44197</v>
      </c>
      <c r="V10" s="33" t="s">
        <v>77</v>
      </c>
    </row>
    <row r="11" spans="1:22" s="31" customFormat="1" ht="160.5" customHeight="1" x14ac:dyDescent="0.25">
      <c r="B11" s="29">
        <v>5</v>
      </c>
      <c r="C11" s="29" t="s">
        <v>69</v>
      </c>
      <c r="D11" s="29" t="s">
        <v>67</v>
      </c>
      <c r="E11" s="29" t="s">
        <v>38</v>
      </c>
      <c r="F11" s="29" t="s">
        <v>31</v>
      </c>
      <c r="G11" s="29" t="s">
        <v>37</v>
      </c>
      <c r="H11" s="29" t="s">
        <v>21</v>
      </c>
      <c r="I11" s="29" t="s">
        <v>58</v>
      </c>
      <c r="J11" s="30">
        <v>94972727</v>
      </c>
      <c r="K11" s="30">
        <v>50000000</v>
      </c>
      <c r="L11" s="29" t="s">
        <v>22</v>
      </c>
      <c r="M11" s="29" t="s">
        <v>70</v>
      </c>
      <c r="N11" s="29" t="s">
        <v>30</v>
      </c>
      <c r="O11" s="32" t="s">
        <v>71</v>
      </c>
      <c r="P11" s="32" t="s">
        <v>74</v>
      </c>
      <c r="Q11" s="33" t="s">
        <v>71</v>
      </c>
      <c r="R11" s="35" t="s">
        <v>83</v>
      </c>
      <c r="S11" s="33" t="s">
        <v>72</v>
      </c>
      <c r="T11" s="33" t="s">
        <v>76</v>
      </c>
      <c r="U11" s="35">
        <v>44197</v>
      </c>
      <c r="V11" s="33" t="s">
        <v>77</v>
      </c>
    </row>
    <row r="12" spans="1:22" s="28" customFormat="1" ht="69.75" x14ac:dyDescent="0.25">
      <c r="A12" s="24"/>
      <c r="B12" s="25">
        <v>5</v>
      </c>
      <c r="C12" s="25" t="s">
        <v>69</v>
      </c>
      <c r="D12" s="25" t="s">
        <v>67</v>
      </c>
      <c r="E12" s="25" t="s">
        <v>78</v>
      </c>
      <c r="F12" s="25"/>
      <c r="G12" s="25"/>
      <c r="H12" s="26"/>
      <c r="I12" s="25"/>
      <c r="J12" s="27">
        <f>SUM(J7:J11)</f>
        <v>959430864</v>
      </c>
      <c r="K12" s="27">
        <f>SUM(K7:K11)</f>
        <v>457487873</v>
      </c>
      <c r="L12" s="25"/>
      <c r="M12" s="25"/>
      <c r="N12" s="26"/>
      <c r="O12" s="25"/>
      <c r="P12" s="26"/>
      <c r="Q12" s="26"/>
      <c r="R12" s="26"/>
      <c r="S12" s="26"/>
      <c r="T12" s="26"/>
      <c r="U12" s="25"/>
      <c r="V12" s="25"/>
    </row>
    <row r="13" spans="1:22" ht="74.25" customHeight="1" x14ac:dyDescent="0.25">
      <c r="C13" s="42"/>
      <c r="D13" s="42"/>
      <c r="E13" s="42"/>
      <c r="F13" s="42"/>
      <c r="G13" s="42"/>
      <c r="H13" s="42"/>
      <c r="I13" s="42"/>
      <c r="J13" s="42"/>
    </row>
  </sheetData>
  <autoFilter ref="A6:V13" xr:uid="{00000000-0009-0000-0000-000000000000}"/>
  <mergeCells count="2">
    <mergeCell ref="D3:L3"/>
    <mergeCell ref="C13:J13"/>
  </mergeCells>
  <pageMargins left="0.70866141732283472" right="0.70866141732283472" top="0.74803149606299213" bottom="0.74803149606299213" header="0.31496062992125984" footer="0.31496062992125984"/>
  <pageSetup paperSize="8" scale="2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21"/>
  <sheetViews>
    <sheetView workbookViewId="0">
      <selection activeCell="E5" sqref="E5:F5"/>
    </sheetView>
  </sheetViews>
  <sheetFormatPr defaultRowHeight="15" x14ac:dyDescent="0.25"/>
  <cols>
    <col min="2" max="3" width="21.42578125" customWidth="1"/>
    <col min="4" max="4" width="23" customWidth="1"/>
    <col min="5" max="5" width="23.140625" bestFit="1" customWidth="1"/>
    <col min="6" max="6" width="27.7109375" customWidth="1"/>
  </cols>
  <sheetData>
    <row r="2" spans="2:6" ht="56.25" x14ac:dyDescent="0.25">
      <c r="B2" s="5" t="s">
        <v>4</v>
      </c>
      <c r="C2" s="5" t="s">
        <v>55</v>
      </c>
      <c r="D2" s="6" t="s">
        <v>54</v>
      </c>
      <c r="E2" s="6" t="s">
        <v>57</v>
      </c>
      <c r="F2" s="6" t="s">
        <v>56</v>
      </c>
    </row>
    <row r="3" spans="2:6" ht="18.75" x14ac:dyDescent="0.25">
      <c r="B3" s="3" t="s">
        <v>39</v>
      </c>
      <c r="C3" s="3"/>
      <c r="D3" s="4"/>
      <c r="E3" s="11"/>
      <c r="F3" s="11"/>
    </row>
    <row r="4" spans="2:6" ht="18.75" x14ac:dyDescent="0.25">
      <c r="B4" s="3" t="s">
        <v>40</v>
      </c>
      <c r="C4" s="3"/>
      <c r="D4" s="4"/>
      <c r="E4" s="11"/>
      <c r="F4" s="11"/>
    </row>
    <row r="5" spans="2:6" ht="18.75" x14ac:dyDescent="0.25">
      <c r="B5" s="3" t="s">
        <v>19</v>
      </c>
      <c r="C5" s="3"/>
      <c r="D5" s="4"/>
      <c r="E5" s="11"/>
      <c r="F5" s="11"/>
    </row>
    <row r="6" spans="2:6" ht="18.75" x14ac:dyDescent="0.25">
      <c r="B6" s="3" t="s">
        <v>41</v>
      </c>
      <c r="C6" s="3"/>
      <c r="D6" s="4"/>
      <c r="E6" s="11"/>
      <c r="F6" s="11"/>
    </row>
    <row r="7" spans="2:6" ht="18.75" x14ac:dyDescent="0.25">
      <c r="B7" s="3" t="s">
        <v>42</v>
      </c>
      <c r="C7" s="12"/>
      <c r="D7" s="13"/>
      <c r="E7" s="14"/>
      <c r="F7" s="14"/>
    </row>
    <row r="8" spans="2:6" ht="18.75" x14ac:dyDescent="0.25">
      <c r="B8" s="3" t="s">
        <v>43</v>
      </c>
      <c r="C8" s="3"/>
      <c r="D8" s="4"/>
      <c r="E8" s="11"/>
      <c r="F8" s="11"/>
    </row>
    <row r="9" spans="2:6" ht="18.75" x14ac:dyDescent="0.25">
      <c r="B9" s="3" t="s">
        <v>44</v>
      </c>
      <c r="C9" s="3"/>
      <c r="D9" s="4"/>
      <c r="E9" s="11"/>
      <c r="F9" s="11"/>
    </row>
    <row r="10" spans="2:6" ht="18.75" x14ac:dyDescent="0.25">
      <c r="B10" s="3" t="s">
        <v>45</v>
      </c>
      <c r="C10" s="3"/>
      <c r="D10" s="4"/>
      <c r="E10" s="11"/>
      <c r="F10" s="11"/>
    </row>
    <row r="11" spans="2:6" ht="18.75" x14ac:dyDescent="0.25">
      <c r="B11" s="7" t="s">
        <v>24</v>
      </c>
      <c r="C11" s="7">
        <f>SUM(C3:C10)</f>
        <v>0</v>
      </c>
      <c r="D11" s="7">
        <f t="shared" ref="D11:F11" si="0">SUM(D3:D10)</f>
        <v>0</v>
      </c>
      <c r="E11" s="7">
        <f t="shared" si="0"/>
        <v>0</v>
      </c>
      <c r="F11" s="7">
        <f t="shared" si="0"/>
        <v>0</v>
      </c>
    </row>
    <row r="12" spans="2:6" ht="18.75" x14ac:dyDescent="0.25">
      <c r="B12" s="3" t="s">
        <v>46</v>
      </c>
      <c r="C12" s="3"/>
      <c r="D12" s="4"/>
      <c r="E12" s="9"/>
      <c r="F12" s="9"/>
    </row>
    <row r="13" spans="2:6" ht="18.75" x14ac:dyDescent="0.25">
      <c r="B13" s="3" t="s">
        <v>47</v>
      </c>
      <c r="C13" s="3"/>
      <c r="D13" s="4"/>
      <c r="E13" s="9"/>
      <c r="F13" s="9"/>
    </row>
    <row r="14" spans="2:6" ht="18.75" x14ac:dyDescent="0.25">
      <c r="B14" s="3" t="s">
        <v>52</v>
      </c>
      <c r="C14" s="3"/>
      <c r="D14" s="4"/>
      <c r="E14" s="9"/>
      <c r="F14" s="9"/>
    </row>
    <row r="15" spans="2:6" ht="18.75" x14ac:dyDescent="0.25">
      <c r="B15" s="3" t="s">
        <v>48</v>
      </c>
      <c r="C15" s="3"/>
      <c r="D15" s="4"/>
      <c r="E15" s="9"/>
      <c r="F15" s="9"/>
    </row>
    <row r="16" spans="2:6" ht="18.75" x14ac:dyDescent="0.25">
      <c r="B16" s="3" t="s">
        <v>49</v>
      </c>
      <c r="C16" s="3"/>
      <c r="D16" s="4"/>
      <c r="E16" s="9"/>
      <c r="F16" s="9"/>
    </row>
    <row r="17" spans="2:6" ht="18.75" x14ac:dyDescent="0.25">
      <c r="B17" s="3" t="s">
        <v>25</v>
      </c>
      <c r="C17" s="3"/>
      <c r="D17" s="4"/>
      <c r="E17" s="9"/>
      <c r="F17" s="9"/>
    </row>
    <row r="18" spans="2:6" ht="18.75" x14ac:dyDescent="0.25">
      <c r="B18" s="3" t="s">
        <v>50</v>
      </c>
      <c r="C18" s="3"/>
      <c r="D18" s="4"/>
      <c r="E18" s="9"/>
      <c r="F18" s="9"/>
    </row>
    <row r="19" spans="2:6" ht="18.75" x14ac:dyDescent="0.25">
      <c r="B19" s="3" t="s">
        <v>51</v>
      </c>
      <c r="C19" s="3"/>
      <c r="D19" s="4"/>
      <c r="E19" s="9"/>
      <c r="F19" s="9"/>
    </row>
    <row r="20" spans="2:6" ht="18.75" x14ac:dyDescent="0.25">
      <c r="B20" s="7" t="s">
        <v>53</v>
      </c>
      <c r="C20" s="10">
        <f t="shared" ref="C20:D20" si="1">SUM(C12:C19)</f>
        <v>0</v>
      </c>
      <c r="D20" s="10">
        <f t="shared" si="1"/>
        <v>0</v>
      </c>
      <c r="E20" s="10">
        <f>SUM(E12:E19)</f>
        <v>0</v>
      </c>
      <c r="F20" s="10">
        <f>SUM(F12:F19)</f>
        <v>0</v>
      </c>
    </row>
    <row r="21" spans="2:6" ht="18.75" x14ac:dyDescent="0.25">
      <c r="B21" s="8" t="s">
        <v>18</v>
      </c>
      <c r="C21" s="15">
        <f>C11+C20</f>
        <v>0</v>
      </c>
      <c r="D21" s="15">
        <f t="shared" ref="D21:F21" si="2">D11+D20</f>
        <v>0</v>
      </c>
      <c r="E21" s="15">
        <f t="shared" si="2"/>
        <v>0</v>
      </c>
      <c r="F21" s="15">
        <f t="shared" si="2"/>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H39"/>
  <sheetViews>
    <sheetView topLeftCell="A6" workbookViewId="0">
      <selection activeCell="I13" sqref="I13"/>
    </sheetView>
  </sheetViews>
  <sheetFormatPr defaultRowHeight="15" x14ac:dyDescent="0.25"/>
  <cols>
    <col min="1" max="1" width="13.140625" customWidth="1"/>
    <col min="2" max="2" width="26.28515625" customWidth="1"/>
    <col min="3" max="3" width="27" customWidth="1"/>
    <col min="4" max="5" width="16.28515625" bestFit="1" customWidth="1"/>
    <col min="6" max="6" width="13.140625" customWidth="1"/>
    <col min="7" max="7" width="40" customWidth="1"/>
    <col min="8" max="8" width="38" customWidth="1"/>
    <col min="9" max="9" width="32.5703125" customWidth="1"/>
    <col min="10" max="21" width="16.28515625" bestFit="1" customWidth="1"/>
    <col min="22" max="22" width="11.28515625" bestFit="1" customWidth="1"/>
  </cols>
  <sheetData>
    <row r="3" spans="1:3" x14ac:dyDescent="0.25">
      <c r="A3" s="1" t="s">
        <v>59</v>
      </c>
      <c r="B3" t="s">
        <v>61</v>
      </c>
      <c r="C3" t="s">
        <v>62</v>
      </c>
    </row>
    <row r="4" spans="1:3" x14ac:dyDescent="0.25">
      <c r="A4" s="2" t="s">
        <v>51</v>
      </c>
      <c r="B4">
        <v>5</v>
      </c>
      <c r="C4">
        <v>5</v>
      </c>
    </row>
    <row r="5" spans="1:3" x14ac:dyDescent="0.25">
      <c r="A5" s="2" t="s">
        <v>52</v>
      </c>
      <c r="B5">
        <v>20</v>
      </c>
      <c r="C5">
        <v>20</v>
      </c>
    </row>
    <row r="6" spans="1:3" x14ac:dyDescent="0.25">
      <c r="A6" s="2" t="s">
        <v>25</v>
      </c>
      <c r="B6">
        <v>16</v>
      </c>
      <c r="C6">
        <v>16</v>
      </c>
    </row>
    <row r="7" spans="1:3" x14ac:dyDescent="0.25">
      <c r="A7" s="2" t="s">
        <v>48</v>
      </c>
      <c r="B7">
        <v>59</v>
      </c>
      <c r="C7">
        <v>32</v>
      </c>
    </row>
    <row r="8" spans="1:3" x14ac:dyDescent="0.25">
      <c r="A8" s="2" t="s">
        <v>49</v>
      </c>
      <c r="B8">
        <v>28</v>
      </c>
      <c r="C8">
        <v>12</v>
      </c>
    </row>
    <row r="9" spans="1:3" x14ac:dyDescent="0.25">
      <c r="A9" s="2" t="s">
        <v>45</v>
      </c>
      <c r="B9">
        <v>28</v>
      </c>
      <c r="C9">
        <v>22</v>
      </c>
    </row>
    <row r="10" spans="1:3" x14ac:dyDescent="0.25">
      <c r="A10" s="2" t="s">
        <v>44</v>
      </c>
      <c r="B10">
        <v>35</v>
      </c>
      <c r="C10">
        <v>31</v>
      </c>
    </row>
    <row r="11" spans="1:3" x14ac:dyDescent="0.25">
      <c r="A11" s="2" t="s">
        <v>39</v>
      </c>
      <c r="B11">
        <v>40</v>
      </c>
      <c r="C11">
        <v>17</v>
      </c>
    </row>
    <row r="12" spans="1:3" x14ac:dyDescent="0.25">
      <c r="A12" s="2" t="s">
        <v>43</v>
      </c>
      <c r="B12">
        <v>45</v>
      </c>
      <c r="C12">
        <v>45</v>
      </c>
    </row>
    <row r="13" spans="1:3" x14ac:dyDescent="0.25">
      <c r="A13" s="2" t="s">
        <v>19</v>
      </c>
      <c r="B13">
        <v>25</v>
      </c>
      <c r="C13">
        <v>24</v>
      </c>
    </row>
    <row r="14" spans="1:3" x14ac:dyDescent="0.25">
      <c r="A14" s="2" t="s">
        <v>40</v>
      </c>
      <c r="B14">
        <v>57</v>
      </c>
      <c r="C14">
        <v>53</v>
      </c>
    </row>
    <row r="15" spans="1:3" x14ac:dyDescent="0.25">
      <c r="A15" s="2" t="s">
        <v>41</v>
      </c>
      <c r="B15">
        <v>29</v>
      </c>
      <c r="C15">
        <v>26</v>
      </c>
    </row>
    <row r="16" spans="1:3" x14ac:dyDescent="0.25">
      <c r="A16" s="2" t="s">
        <v>47</v>
      </c>
      <c r="B16">
        <v>97</v>
      </c>
      <c r="C16">
        <v>63</v>
      </c>
    </row>
    <row r="17" spans="1:8" x14ac:dyDescent="0.25">
      <c r="A17" s="2" t="s">
        <v>50</v>
      </c>
      <c r="B17">
        <v>15</v>
      </c>
      <c r="C17">
        <v>15</v>
      </c>
    </row>
    <row r="18" spans="1:8" x14ac:dyDescent="0.25">
      <c r="A18" s="2" t="s">
        <v>42</v>
      </c>
    </row>
    <row r="19" spans="1:8" x14ac:dyDescent="0.25">
      <c r="A19" s="2" t="s">
        <v>46</v>
      </c>
      <c r="B19">
        <v>94</v>
      </c>
      <c r="C19">
        <v>94</v>
      </c>
    </row>
    <row r="20" spans="1:8" x14ac:dyDescent="0.25">
      <c r="A20" s="2" t="s">
        <v>60</v>
      </c>
      <c r="B20">
        <v>593</v>
      </c>
      <c r="C20">
        <v>475</v>
      </c>
    </row>
    <row r="22" spans="1:8" x14ac:dyDescent="0.25">
      <c r="F22" s="1" t="s">
        <v>59</v>
      </c>
      <c r="G22" t="s">
        <v>65</v>
      </c>
      <c r="H22" t="s">
        <v>66</v>
      </c>
    </row>
    <row r="23" spans="1:8" x14ac:dyDescent="0.25">
      <c r="F23" s="2" t="s">
        <v>51</v>
      </c>
      <c r="G23" s="16">
        <v>959.43086400000004</v>
      </c>
      <c r="H23" s="16">
        <v>457.48787299999998</v>
      </c>
    </row>
    <row r="24" spans="1:8" x14ac:dyDescent="0.25">
      <c r="F24" s="2" t="s">
        <v>52</v>
      </c>
      <c r="G24" s="16">
        <v>1953.4533220000001</v>
      </c>
      <c r="H24" s="16">
        <v>1464.0072379999999</v>
      </c>
    </row>
    <row r="25" spans="1:8" x14ac:dyDescent="0.25">
      <c r="F25" s="2" t="s">
        <v>25</v>
      </c>
      <c r="G25" s="16">
        <v>5254.2033190000002</v>
      </c>
      <c r="H25" s="16">
        <v>4044.0736459999998</v>
      </c>
    </row>
    <row r="26" spans="1:8" x14ac:dyDescent="0.25">
      <c r="F26" s="2" t="s">
        <v>48</v>
      </c>
      <c r="G26" s="16">
        <v>1913.53927862975</v>
      </c>
      <c r="H26" s="16">
        <v>1559.902728</v>
      </c>
    </row>
    <row r="27" spans="1:8" x14ac:dyDescent="0.25">
      <c r="F27" s="2" t="s">
        <v>49</v>
      </c>
      <c r="G27" s="16">
        <v>1128.1608819999999</v>
      </c>
      <c r="H27" s="16">
        <v>880.83</v>
      </c>
    </row>
    <row r="28" spans="1:8" x14ac:dyDescent="0.25">
      <c r="F28" s="2" t="s">
        <v>45</v>
      </c>
      <c r="G28" s="16">
        <v>1298.1652005000001</v>
      </c>
      <c r="H28" s="16">
        <v>519.26607960000001</v>
      </c>
    </row>
    <row r="29" spans="1:8" x14ac:dyDescent="0.25">
      <c r="F29" s="2" t="s">
        <v>44</v>
      </c>
      <c r="G29" s="16">
        <v>1245.36919464882</v>
      </c>
      <c r="H29" s="16">
        <v>1033.840453</v>
      </c>
    </row>
    <row r="30" spans="1:8" x14ac:dyDescent="0.25">
      <c r="F30" s="2" t="s">
        <v>39</v>
      </c>
      <c r="G30" s="16">
        <v>958.8</v>
      </c>
      <c r="H30" s="16">
        <v>797.14</v>
      </c>
    </row>
    <row r="31" spans="1:8" x14ac:dyDescent="0.25">
      <c r="F31" s="2" t="s">
        <v>43</v>
      </c>
      <c r="G31" s="16">
        <v>1312.4111618499999</v>
      </c>
      <c r="H31" s="16">
        <v>1092.579518</v>
      </c>
    </row>
    <row r="32" spans="1:8" x14ac:dyDescent="0.25">
      <c r="F32" s="2" t="s">
        <v>19</v>
      </c>
      <c r="G32" s="16">
        <v>1292.5776103399999</v>
      </c>
      <c r="H32" s="16">
        <v>1070.5328149239999</v>
      </c>
    </row>
    <row r="33" spans="6:8" x14ac:dyDescent="0.25">
      <c r="F33" s="2" t="s">
        <v>40</v>
      </c>
      <c r="G33" s="16">
        <v>1273.0753087058799</v>
      </c>
      <c r="H33" s="16">
        <v>1055.4144510000001</v>
      </c>
    </row>
    <row r="34" spans="6:8" x14ac:dyDescent="0.25">
      <c r="F34" s="2" t="s">
        <v>41</v>
      </c>
      <c r="G34" s="16">
        <v>1093.3688629999999</v>
      </c>
      <c r="H34" s="16">
        <v>910.62470499999995</v>
      </c>
    </row>
    <row r="35" spans="6:8" x14ac:dyDescent="0.25">
      <c r="F35" s="2" t="s">
        <v>47</v>
      </c>
      <c r="G35" s="16">
        <v>5470.8015566496697</v>
      </c>
      <c r="H35" s="16">
        <v>1955.51239259</v>
      </c>
    </row>
    <row r="36" spans="6:8" x14ac:dyDescent="0.25">
      <c r="F36" s="2" t="s">
        <v>50</v>
      </c>
      <c r="G36" s="16">
        <v>9626.2365348799995</v>
      </c>
      <c r="H36" s="16">
        <v>4650.5153259999997</v>
      </c>
    </row>
    <row r="37" spans="6:8" x14ac:dyDescent="0.25">
      <c r="F37" s="2" t="s">
        <v>42</v>
      </c>
      <c r="G37" s="16"/>
      <c r="H37" s="16"/>
    </row>
    <row r="38" spans="6:8" x14ac:dyDescent="0.25">
      <c r="F38" s="2" t="s">
        <v>46</v>
      </c>
      <c r="G38" s="16">
        <v>2530.738057</v>
      </c>
      <c r="H38" s="16">
        <v>2139.7155298100001</v>
      </c>
    </row>
    <row r="39" spans="6:8" x14ac:dyDescent="0.25">
      <c r="F39" s="2" t="s">
        <v>60</v>
      </c>
      <c r="G39" s="16">
        <v>37310.331153204119</v>
      </c>
      <c r="H39" s="16">
        <v>23631.442754924003</v>
      </c>
    </row>
  </sheetData>
  <pageMargins left="0.7" right="0.7" top="0.75" bottom="0.75" header="0.3" footer="0.3"/>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8"/>
  <sheetViews>
    <sheetView workbookViewId="0">
      <selection activeCell="B18" sqref="B18:E20"/>
    </sheetView>
  </sheetViews>
  <sheetFormatPr defaultRowHeight="15" x14ac:dyDescent="0.25"/>
  <cols>
    <col min="1" max="1" width="20.140625" customWidth="1"/>
    <col min="2" max="2" width="19.5703125" customWidth="1"/>
    <col min="3" max="3" width="22.85546875" customWidth="1"/>
    <col min="4" max="4" width="32.7109375" customWidth="1"/>
    <col min="5" max="5" width="32.140625" customWidth="1"/>
  </cols>
  <sheetData>
    <row r="1" spans="1:5" ht="56.25" x14ac:dyDescent="0.25">
      <c r="A1" s="5" t="s">
        <v>4</v>
      </c>
      <c r="B1" s="5" t="s">
        <v>55</v>
      </c>
      <c r="C1" s="6" t="s">
        <v>54</v>
      </c>
      <c r="D1" s="6" t="s">
        <v>64</v>
      </c>
      <c r="E1" s="6" t="s">
        <v>63</v>
      </c>
    </row>
    <row r="2" spans="1:5" ht="18.75" x14ac:dyDescent="0.25">
      <c r="A2" s="3" t="s">
        <v>39</v>
      </c>
      <c r="B2" s="3">
        <v>40</v>
      </c>
      <c r="C2" s="4">
        <v>17</v>
      </c>
      <c r="D2" s="11">
        <f>958800000/1000000</f>
        <v>958.8</v>
      </c>
      <c r="E2" s="11">
        <f>797140000/1000000</f>
        <v>797.14</v>
      </c>
    </row>
    <row r="3" spans="1:5" ht="18.75" x14ac:dyDescent="0.25">
      <c r="A3" s="3" t="s">
        <v>40</v>
      </c>
      <c r="B3" s="3">
        <v>57</v>
      </c>
      <c r="C3" s="4">
        <v>53</v>
      </c>
      <c r="D3" s="11">
        <f>1273075308.70588/1000000</f>
        <v>1273.0753087058799</v>
      </c>
      <c r="E3" s="11">
        <f>1055414451/1000000</f>
        <v>1055.4144510000001</v>
      </c>
    </row>
    <row r="4" spans="1:5" ht="18.75" x14ac:dyDescent="0.25">
      <c r="A4" s="3" t="s">
        <v>19</v>
      </c>
      <c r="B4" s="3">
        <v>25</v>
      </c>
      <c r="C4" s="4">
        <v>24</v>
      </c>
      <c r="D4" s="11">
        <f>1292577610.34/1000000</f>
        <v>1292.5776103399999</v>
      </c>
      <c r="E4" s="11">
        <f>1070532814.924/1000000</f>
        <v>1070.5328149239999</v>
      </c>
    </row>
    <row r="5" spans="1:5" ht="18.75" x14ac:dyDescent="0.25">
      <c r="A5" s="3" t="s">
        <v>41</v>
      </c>
      <c r="B5" s="3">
        <v>29</v>
      </c>
      <c r="C5" s="4">
        <v>26</v>
      </c>
      <c r="D5" s="11">
        <f>1093368863/1000000</f>
        <v>1093.3688629999999</v>
      </c>
      <c r="E5" s="11">
        <f>910624705/1000000</f>
        <v>910.62470499999995</v>
      </c>
    </row>
    <row r="6" spans="1:5" ht="18.75" x14ac:dyDescent="0.25">
      <c r="A6" s="3" t="s">
        <v>42</v>
      </c>
      <c r="B6" s="12"/>
      <c r="C6" s="13"/>
      <c r="D6" s="14"/>
      <c r="E6" s="14"/>
    </row>
    <row r="7" spans="1:5" ht="18.75" x14ac:dyDescent="0.25">
      <c r="A7" s="3" t="s">
        <v>43</v>
      </c>
      <c r="B7" s="3">
        <v>45</v>
      </c>
      <c r="C7" s="4">
        <v>45</v>
      </c>
      <c r="D7" s="11">
        <f>1312411161.85/1000000</f>
        <v>1312.4111618499999</v>
      </c>
      <c r="E7" s="11">
        <f>1092579518/1000000</f>
        <v>1092.579518</v>
      </c>
    </row>
    <row r="8" spans="1:5" ht="18.75" x14ac:dyDescent="0.25">
      <c r="A8" s="3" t="s">
        <v>44</v>
      </c>
      <c r="B8" s="3">
        <v>35</v>
      </c>
      <c r="C8" s="4">
        <v>31</v>
      </c>
      <c r="D8" s="11">
        <f>1245369194.64882/1000000</f>
        <v>1245.36919464882</v>
      </c>
      <c r="E8" s="11">
        <f>1033840453/1000000</f>
        <v>1033.840453</v>
      </c>
    </row>
    <row r="9" spans="1:5" ht="18.75" x14ac:dyDescent="0.25">
      <c r="A9" s="3" t="s">
        <v>45</v>
      </c>
      <c r="B9" s="3">
        <v>28</v>
      </c>
      <c r="C9" s="4">
        <v>22</v>
      </c>
      <c r="D9" s="11">
        <f>1298165200.5/1000000</f>
        <v>1298.1652005000001</v>
      </c>
      <c r="E9" s="11">
        <f>519266079.6/1000000</f>
        <v>519.26607960000001</v>
      </c>
    </row>
    <row r="10" spans="1:5" ht="18.75" x14ac:dyDescent="0.25">
      <c r="A10" s="3" t="s">
        <v>46</v>
      </c>
      <c r="B10" s="3">
        <v>94</v>
      </c>
      <c r="C10" s="4">
        <v>94</v>
      </c>
      <c r="D10" s="11">
        <f>2530738057/1000000</f>
        <v>2530.738057</v>
      </c>
      <c r="E10" s="11">
        <f>2139715529.81/1000000</f>
        <v>2139.7155298100001</v>
      </c>
    </row>
    <row r="11" spans="1:5" ht="18.75" x14ac:dyDescent="0.25">
      <c r="A11" s="3" t="s">
        <v>47</v>
      </c>
      <c r="B11" s="3">
        <v>97</v>
      </c>
      <c r="C11" s="4">
        <v>63</v>
      </c>
      <c r="D11" s="11">
        <f>5470801556.64967/1000000</f>
        <v>5470.8015566496697</v>
      </c>
      <c r="E11" s="11">
        <f>1955512392.59/1000000</f>
        <v>1955.51239259</v>
      </c>
    </row>
    <row r="12" spans="1:5" ht="18.75" x14ac:dyDescent="0.25">
      <c r="A12" s="3" t="s">
        <v>52</v>
      </c>
      <c r="B12" s="3">
        <v>20</v>
      </c>
      <c r="C12" s="4">
        <v>20</v>
      </c>
      <c r="D12" s="11">
        <f>1953453322/1000000</f>
        <v>1953.4533220000001</v>
      </c>
      <c r="E12" s="11">
        <f>1464007238/1000000</f>
        <v>1464.0072379999999</v>
      </c>
    </row>
    <row r="13" spans="1:5" ht="18.75" x14ac:dyDescent="0.25">
      <c r="A13" s="3" t="s">
        <v>48</v>
      </c>
      <c r="B13" s="3">
        <v>59</v>
      </c>
      <c r="C13" s="4">
        <v>32</v>
      </c>
      <c r="D13" s="11">
        <f>1913539278.62975/1000000</f>
        <v>1913.53927862975</v>
      </c>
      <c r="E13" s="11">
        <f>1559902728/1000000</f>
        <v>1559.902728</v>
      </c>
    </row>
    <row r="14" spans="1:5" ht="18.75" x14ac:dyDescent="0.25">
      <c r="A14" s="3" t="s">
        <v>49</v>
      </c>
      <c r="B14" s="3">
        <v>28</v>
      </c>
      <c r="C14" s="4">
        <v>12</v>
      </c>
      <c r="D14" s="11">
        <f>1128160882/1000000</f>
        <v>1128.1608819999999</v>
      </c>
      <c r="E14" s="11">
        <f>880830000/1000000</f>
        <v>880.83</v>
      </c>
    </row>
    <row r="15" spans="1:5" ht="18.75" x14ac:dyDescent="0.25">
      <c r="A15" s="3" t="s">
        <v>25</v>
      </c>
      <c r="B15" s="3">
        <v>16</v>
      </c>
      <c r="C15" s="4">
        <v>16</v>
      </c>
      <c r="D15" s="11">
        <f>5254203319/1000000</f>
        <v>5254.2033190000002</v>
      </c>
      <c r="E15" s="11">
        <f>4044073646/1000000</f>
        <v>4044.0736459999998</v>
      </c>
    </row>
    <row r="16" spans="1:5" ht="18.75" x14ac:dyDescent="0.25">
      <c r="A16" s="3" t="s">
        <v>50</v>
      </c>
      <c r="B16" s="3">
        <v>15</v>
      </c>
      <c r="C16" s="4">
        <v>15</v>
      </c>
      <c r="D16" s="11">
        <f>9626236534.88/1000000</f>
        <v>9626.2365348799995</v>
      </c>
      <c r="E16" s="11">
        <f>4650515326/1000000</f>
        <v>4650.5153259999997</v>
      </c>
    </row>
    <row r="17" spans="1:5" ht="18.75" x14ac:dyDescent="0.25">
      <c r="A17" s="3" t="s">
        <v>51</v>
      </c>
      <c r="B17" s="3">
        <v>5</v>
      </c>
      <c r="C17" s="4">
        <v>5</v>
      </c>
      <c r="D17" s="11">
        <f>959430864/1000000</f>
        <v>959.43086400000004</v>
      </c>
      <c r="E17" s="11">
        <f>457487873/1000000</f>
        <v>457.48787299999998</v>
      </c>
    </row>
    <row r="18" spans="1:5" ht="18.75" x14ac:dyDescent="0.25">
      <c r="A18" s="8" t="s">
        <v>18</v>
      </c>
      <c r="B18" s="15">
        <f>SUM(B2:B17)</f>
        <v>593</v>
      </c>
      <c r="C18" s="15">
        <f t="shared" ref="C18:E18" si="0">SUM(C2:C17)</f>
        <v>475</v>
      </c>
      <c r="D18" s="15">
        <f t="shared" si="0"/>
        <v>37310.331153204119</v>
      </c>
      <c r="E18" s="15">
        <f t="shared" si="0"/>
        <v>23631.442754923999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Apeluri PC 2023 </vt:lpstr>
      <vt:lpstr>Centralizator 2023</vt:lpstr>
      <vt:lpstr>Sheet1Pivot chart 0</vt:lpstr>
      <vt:lpstr>Sheet9</vt:lpstr>
      <vt:lpstr>'Apeluri PC 2023 '!Print_Area</vt:lpstr>
      <vt:lpstr>'Apeluri PC 2023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Burila</dc:creator>
  <cp:lastModifiedBy>Gabriela Popescu</cp:lastModifiedBy>
  <cp:lastPrinted>2023-05-09T13:08:10Z</cp:lastPrinted>
  <dcterms:created xsi:type="dcterms:W3CDTF">2022-11-16T11:13:12Z</dcterms:created>
  <dcterms:modified xsi:type="dcterms:W3CDTF">2023-05-10T05:59:00Z</dcterms:modified>
</cp:coreProperties>
</file>