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hidePivotFieldList="1"/>
  <xr:revisionPtr revIDLastSave="0" documentId="8_{281E1D3A-B813-448A-9F30-6A3B40A84317}" xr6:coauthVersionLast="47" xr6:coauthVersionMax="47" xr10:uidLastSave="{00000000-0000-0000-0000-000000000000}"/>
  <bookViews>
    <workbookView xWindow="1170" yWindow="1170" windowWidth="29040" windowHeight="16500" xr2:uid="{00000000-000D-0000-FFFF-FFFF00000000}"/>
  </bookViews>
  <sheets>
    <sheet name="Centralizator PC " sheetId="1" r:id="rId1"/>
    <sheet name="Centralizator 2023" sheetId="5" r:id="rId2"/>
    <sheet name="Sheet1Pivot chart 0" sheetId="11" r:id="rId3"/>
    <sheet name="Foaie1" sheetId="12" r:id="rId4"/>
    <sheet name="Sheet9" sheetId="10" state="hidden" r:id="rId5"/>
  </sheets>
  <definedNames>
    <definedName name="_xlnm._FilterDatabase" localSheetId="0" hidden="1">'Centralizator PC '!$A$2:$BB$21</definedName>
    <definedName name="_xlnm.Print_Titles" localSheetId="0">'Centralizator PC '!$1:$1</definedName>
    <definedName name="_xlnm.Print_Area" localSheetId="0">'Centralizator PC '!$A$1:$BB$61</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0" l="1"/>
  <c r="B18" i="10"/>
  <c r="E17" i="10"/>
  <c r="D17" i="10"/>
  <c r="E16" i="10"/>
  <c r="D16" i="10"/>
  <c r="E15" i="10"/>
  <c r="D15" i="10"/>
  <c r="E14" i="10"/>
  <c r="D14" i="10"/>
  <c r="E13" i="10"/>
  <c r="D13" i="10"/>
  <c r="E12" i="10"/>
  <c r="D12" i="10"/>
  <c r="E11" i="10"/>
  <c r="D11" i="10"/>
  <c r="E10" i="10"/>
  <c r="D10" i="10"/>
  <c r="E9" i="10"/>
  <c r="D9" i="10"/>
  <c r="E8" i="10"/>
  <c r="D8" i="10"/>
  <c r="E7" i="10"/>
  <c r="D7" i="10"/>
  <c r="E5" i="10"/>
  <c r="D5" i="10"/>
  <c r="E4" i="10"/>
  <c r="D4" i="10"/>
  <c r="E3" i="10"/>
  <c r="E18" i="10" s="1"/>
  <c r="D3" i="10"/>
  <c r="E2" i="10"/>
  <c r="D2" i="10"/>
  <c r="D18" i="10" s="1"/>
  <c r="D20" i="5"/>
  <c r="C20" i="5"/>
  <c r="F19" i="5"/>
  <c r="E19" i="5"/>
  <c r="E18" i="5"/>
  <c r="F17" i="5"/>
  <c r="E17" i="5"/>
  <c r="F16" i="5"/>
  <c r="E16" i="5"/>
  <c r="F15" i="5"/>
  <c r="E15" i="5"/>
  <c r="F14" i="5"/>
  <c r="E14" i="5"/>
  <c r="F13" i="5"/>
  <c r="E13" i="5"/>
  <c r="F12" i="5"/>
  <c r="F20" i="5" s="1"/>
  <c r="E12" i="5"/>
  <c r="E20" i="5" s="1"/>
  <c r="F11" i="5"/>
  <c r="F21" i="5" s="1"/>
  <c r="D11" i="5"/>
  <c r="D21" i="5" s="1"/>
  <c r="C11" i="5"/>
  <c r="C21" i="5" s="1"/>
  <c r="F10" i="5"/>
  <c r="E10" i="5"/>
  <c r="F9" i="5"/>
  <c r="E9" i="5"/>
  <c r="F8" i="5"/>
  <c r="E8" i="5"/>
  <c r="F6" i="5"/>
  <c r="E6" i="5"/>
  <c r="F5" i="5"/>
  <c r="E5" i="5"/>
  <c r="F4" i="5"/>
  <c r="E4" i="5"/>
  <c r="F3" i="5"/>
  <c r="E3" i="5"/>
  <c r="E11" i="5" s="1"/>
  <c r="H24" i="1"/>
  <c r="H21" i="1"/>
  <c r="F24" i="1" s="1"/>
  <c r="W20" i="1"/>
  <c r="W19" i="1"/>
  <c r="O19" i="1"/>
  <c r="W18" i="1"/>
  <c r="O18" i="1"/>
  <c r="W17" i="1"/>
  <c r="O17" i="1"/>
  <c r="W16" i="1"/>
  <c r="W15" i="1"/>
  <c r="W14" i="1"/>
  <c r="W13" i="1"/>
  <c r="W12" i="1"/>
  <c r="W11" i="1"/>
  <c r="W10" i="1"/>
  <c r="I10" i="1"/>
  <c r="W9" i="1"/>
  <c r="W8" i="1"/>
  <c r="I8" i="1"/>
  <c r="W7" i="1"/>
  <c r="I7" i="1"/>
  <c r="W6" i="1"/>
  <c r="W5" i="1"/>
  <c r="I5" i="1"/>
  <c r="W4" i="1"/>
  <c r="I4" i="1"/>
  <c r="W3" i="1"/>
  <c r="I3" i="1"/>
  <c r="A3" i="1"/>
  <c r="A4" i="1" s="1"/>
  <c r="A5" i="1" s="1"/>
  <c r="A6" i="1" s="1"/>
  <c r="A7" i="1" s="1"/>
  <c r="A8" i="1" s="1"/>
  <c r="A9" i="1" s="1"/>
  <c r="A10" i="1" s="1"/>
  <c r="A11" i="1" s="1"/>
  <c r="A12" i="1" s="1"/>
  <c r="A13" i="1" s="1"/>
  <c r="A14" i="1" s="1"/>
  <c r="A15" i="1" s="1"/>
  <c r="A16" i="1" s="1"/>
  <c r="A17" i="1" s="1"/>
  <c r="A18" i="1" s="1"/>
  <c r="A19" i="1" s="1"/>
  <c r="A20" i="1" s="1"/>
  <c r="A21" i="1" s="1"/>
  <c r="E24" i="1" s="1"/>
  <c r="W2" i="1"/>
  <c r="I2" i="1"/>
  <c r="K24" i="1" s="1"/>
  <c r="E21" i="5" l="1"/>
  <c r="I21" i="1"/>
  <c r="D24" i="1" s="1"/>
  <c r="C24" i="1"/>
  <c r="F18" i="5"/>
  <c r="I24" i="1"/>
</calcChain>
</file>

<file path=xl/sharedStrings.xml><?xml version="1.0" encoding="utf-8"?>
<sst xmlns="http://schemas.openxmlformats.org/spreadsheetml/2006/main" count="512" uniqueCount="136">
  <si>
    <t>Nr. crt.</t>
  </si>
  <si>
    <t xml:space="preserve">Minister finanțator </t>
  </si>
  <si>
    <t>Denumire apel de finanțare</t>
  </si>
  <si>
    <t>Obiectivele apelului de finanțare</t>
  </si>
  <si>
    <t>Intră sub incidența ajutorului de stat?</t>
  </si>
  <si>
    <t>Tip de ajutor de stat</t>
  </si>
  <si>
    <t>Valoare maximă a ajutorului nerambursabil (Valoare în euro)</t>
  </si>
  <si>
    <t xml:space="preserve">Stadiu apel </t>
  </si>
  <si>
    <t>ALTE INFORMAȚII RELEVANTE</t>
  </si>
  <si>
    <t>OBSERVAȚII</t>
  </si>
  <si>
    <t>Program</t>
  </si>
  <si>
    <t>NU</t>
  </si>
  <si>
    <t>DA</t>
  </si>
  <si>
    <t>Data estimată de începere a perioadei de contractare</t>
  </si>
  <si>
    <t>Data estimată de finalizare a perioadei de contractare</t>
  </si>
  <si>
    <t xml:space="preserve">Zona geografică vizată </t>
  </si>
  <si>
    <t>Mod de calcul stabilire pondere ajutor de stat (regulament/articol aplicabil)</t>
  </si>
  <si>
    <t>Intensitatea maximă a ajutorului 
(% din ajutor de stat raportat la cheltuieli eligibile)</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</si>
  <si>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</si>
  <si>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</si>
  <si>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</si>
  <si>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</si>
  <si>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</si>
  <si>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</si>
  <si>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</si>
  <si>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Stadiul schemei de ajutor de stat
(avizată CC cu nr./elaborată/în curs de elaborare, neelaborată)</t>
  </si>
  <si>
    <t>competitiv</t>
  </si>
  <si>
    <t xml:space="preserve">TOTAL </t>
  </si>
  <si>
    <t xml:space="preserve">APELURI IN DERULARE </t>
  </si>
  <si>
    <t>PR S</t>
  </si>
  <si>
    <t>FEDR</t>
  </si>
  <si>
    <t>N/A</t>
  </si>
  <si>
    <t xml:space="preserve">TOTAL PR </t>
  </si>
  <si>
    <t>PDD</t>
  </si>
  <si>
    <t xml:space="preserve">Dată ESTIMATĂ deschidere apel  </t>
  </si>
  <si>
    <t xml:space="preserve">Dată ESTIMATĂ închidere apel  </t>
  </si>
  <si>
    <t>P Transport</t>
  </si>
  <si>
    <t>MTI</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</si>
  <si>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</si>
  <si>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</si>
  <si>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</si>
  <si>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</si>
  <si>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</si>
  <si>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</si>
  <si>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</si>
  <si>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</si>
  <si>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</si>
  <si>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</si>
  <si>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</si>
  <si>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</si>
  <si>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</si>
  <si>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</si>
  <si>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</si>
  <si>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</si>
  <si>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</si>
  <si>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</si>
  <si>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</si>
  <si>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</si>
  <si>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FC</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</si>
  <si>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</si>
  <si>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</si>
  <si>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</si>
  <si>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</si>
  <si>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</si>
  <si>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</si>
  <si>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</si>
  <si>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</si>
  <si>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(P4) Proiecte pentru creșterea eficienței căilor ferate române - sprijin pentru creșterea capacității administrative a beneficiarilor</t>
  </si>
  <si>
    <t xml:space="preserve">RSO3.1. Dezvoltarea unei rețele TEN-T sustenabile, reziliente în fața schimbărilor climatice, inteligente, sigure și intermodale </t>
  </si>
  <si>
    <t xml:space="preserve">RSO3.2. Dezvoltarea și ameliorarea unei mobilități naționale, regionale și locale sustenabile, reziliente la schimbările climatice, inteligente și intermodale, inclusiv îmbunătățirea accesului la TEN-T și a mobilității transfrontaliere </t>
  </si>
  <si>
    <t>3 – O Europă mai conectată prin dezvoltarea mobilității</t>
  </si>
  <si>
    <t>teritoriul României</t>
  </si>
  <si>
    <t>Tipul de solicitanți eligibili / Beneficiari eligibili 
512</t>
  </si>
  <si>
    <t>(1) CNAIR;
(2) UAT, inclusiv asociații ale acestora in parteneriate cu CNAIR/DRDP-uri</t>
  </si>
  <si>
    <t>Tip apel
(competitiv/necompetitiv/
primul venit-primul servit)
31</t>
  </si>
  <si>
    <t>În pregătire</t>
  </si>
  <si>
    <t>Obiectivul de politică sau obiectivul specific vizat
22</t>
  </si>
  <si>
    <t xml:space="preserve">(P2)Îmbunătățirea conectivității secundare rutiere - Proiecte de investiții situate pe rețeaua secundară rutieră a României, pe rețeaua TEN-T Globala  </t>
  </si>
  <si>
    <t>(P2) Îmbunătățirea conectivității secundare rutiere - Îmbunătățirea conectivității secundare rutiere</t>
  </si>
  <si>
    <t>(P6) Dezvoltarea mobilității sustenabile în nodurile urbane - Trenuri metropolitane în nodurile urbane</t>
  </si>
  <si>
    <t>(P6) Dezvoltarea mobilității sustenabile în nodurile urbane - Trenul metropolitan în regiunea București-Ilfov</t>
  </si>
  <si>
    <t xml:space="preserve">RSO2.8. Promovarea mobilității urbane multimodale sustenabile, ca parte a tranziției către o economie cu zero emisii de dioxid de carbon </t>
  </si>
  <si>
    <t>2 – O Europă mai verde</t>
  </si>
  <si>
    <t>Regiunea București-Ilfov</t>
  </si>
  <si>
    <t>(1) UAT – municipii reședință de județ sau județ cu peste 100.000 de locuitori/noduri urbane în parteneriat cu CFR-S.A.;
ADI constituite între municipii reședință de județ cu peste 100.000 de locuitori/noduri urbane și alte unități administrativ teritoriale în parteneriat cu CFR S.A.</t>
  </si>
  <si>
    <t xml:space="preserve">(1) UAT – mun. București sau ADI al mun. București u parteneriat cu CFR-S.A.
</t>
  </si>
  <si>
    <t xml:space="preserve">necompetitiv,  conform principiului ”primul venit, primul servit”, până la epuizarea finanțării disponibile sau până la închierea apelului, oricare dintre cele două date survine prima </t>
  </si>
  <si>
    <t>necompetitiv,  conform principiului ”primul venit, primul servit”, până la epuizarea finanțării disponibile sau până la închierea apelului, oricare dintre cele două date survine prima</t>
  </si>
  <si>
    <t>(P6) Dezvoltarea mobilității sustenabile în nodurile urbane - infrastructura de metrou</t>
  </si>
  <si>
    <t>(1) METROREX S.A.;
(2) Autoritatea pentru Reformă Feroviară (ARF)</t>
  </si>
  <si>
    <t>(P1) Îmbunătățirea conectivității primare rutiere - Proiecte de asistenta tehnica pentru întărirea capacității administrative a CNAIR/CNIR în vederea creșterii capacitații de implementare a proiectelor</t>
  </si>
  <si>
    <t>(P1) Proiecte de investiții situate pe rețeaua TEN-T Centrală, precum și pe anumite secțiuni ale rețelei TEN-T Globale - finanțate din FC</t>
  </si>
  <si>
    <t>CNAIR;
CNIR;
UAT/ADI doar in parteneriat cu CNAIR/CNIR</t>
  </si>
  <si>
    <t xml:space="preserve">(P3) Proiecte de investiții pentru creșterea siguranței rutiere, adresate secțiunilor de infrastructură rutieră situate pe rețeaua TEN-T </t>
  </si>
  <si>
    <t>(P3) Proiecte de investiții pentru creșterea siguranței rutiere adresate secțiunilor de infrastructură rutieră situate în afara rețelei TEN-T</t>
  </si>
  <si>
    <t xml:space="preserve"> NU</t>
  </si>
  <si>
    <t>(1) CNAIR/CNIR/DRDP;
(2) Ministerul Afacerilor Interne, prin structurile de specialitate în domeniul siguranței rutiere (ex. Poliția rutieră)</t>
  </si>
  <si>
    <t>(P4) Proiecte pentru creșterea eficienței căilor ferate române, pe rețeaua TEN-T Core</t>
  </si>
  <si>
    <t>„CFR” SA</t>
  </si>
  <si>
    <t>(P5) Creșterea atractivității transportului feroviar de călători</t>
  </si>
  <si>
    <t>Autoritatea pentru Reforma Feroviara (ARF) Ministerul Transporturilor și Infrastructurii</t>
  </si>
  <si>
    <t>(P6) Dezvoltarea mobilității sustenabile în nodurile urbane - dezvoltarea capacității administrative</t>
  </si>
  <si>
    <t xml:space="preserve">METROREX S.A.
</t>
  </si>
  <si>
    <t>(P7) Dezvoltarea transportului naval și multimodal - Apel de proiecte privind investițiile din instrastructura navală- proiecte noi</t>
  </si>
  <si>
    <t>(P7) Dezvoltarea transportului naval și multimodal - Apel de proiecte privind investițiile din instrastructura navală- proiecte fazate</t>
  </si>
  <si>
    <t>(P7) Dezvoltarea transportului naval și multimodal - Apel de proiecte privind investițiile din sectorul transportului multimodal</t>
  </si>
  <si>
    <t>de investiții</t>
  </si>
  <si>
    <t>art.56b și art.56c din Regulamentul (UE) nr. 651/2014</t>
  </si>
  <si>
    <t>transmis spre pdv la CC</t>
  </si>
  <si>
    <t>(a) 100% din costurile eligibile, când costurile eligibile totale ale proiectului nu depășesc 22 de milioane EUR;
(b) 80% din costurile eligibile, când costurile eligibile totale ale proiectului depășesc 22 de milioane EUR, dar nu sunt mai mari  de 55 de milioane EUR;
(c) 60% din costurile eligibile, când costurile eligibile totale ale proiectului depășesc 55 de milioane EUR, dar nu sunt mai mari de 143 de milioane EUR;
(d) 60% din costurile eligibile, când costurile eligibile totale ale proiectului depășesc 55 de milioane EUR, dar nu sunt mai mari de 165 de milioane EUR pentru porturile maritime incluse în planul de activitate al unui coridor al rețelei centrale, astfel cum se menționează la articolul 47 din Regulamentul (UE) nr. 1315/2013.</t>
  </si>
  <si>
    <t>Stadiu Ghid solicitant</t>
  </si>
  <si>
    <t>Consultare publică în curs</t>
  </si>
  <si>
    <t>Administratorii porturilor maritime si fluviale;
Administratorii de căi navigabile;
Operatori Portuari Privați / Operatori de transport naval /Operatori de terminale logistice;
MTI;
Unități Administrativ Teritoriale;
Parteneriate între beneficiari;</t>
  </si>
  <si>
    <t>Alocare Totală (UE+BS)</t>
  </si>
  <si>
    <t>(P8) Asistență tehnică</t>
  </si>
  <si>
    <t xml:space="preserve">MTI
ONG-uri
</t>
  </si>
  <si>
    <r>
      <t xml:space="preserve">(P1) Îmbunătățirea conectivității primare rutiere - </t>
    </r>
    <r>
      <rPr>
        <sz val="9"/>
        <rFont val="Arial"/>
        <family val="2"/>
      </rPr>
      <t>Proiecte de investiții situate pe rețeaua TEN-T Centrală, precum și pe anumite secțiuni ale rețelei TEN-T Globale</t>
    </r>
    <r>
      <rPr>
        <sz val="11"/>
        <rFont val="Calibri"/>
        <family val="2"/>
        <charset val="238"/>
        <scheme val="minor"/>
      </rPr>
      <t xml:space="preserve"> - finanțate din FEDR</t>
    </r>
  </si>
  <si>
    <t>Alocare totală (UE+BS)
Euro</t>
  </si>
  <si>
    <t>Alocare UE
Euro</t>
  </si>
  <si>
    <t>Nr. apeluri estimate a se lansa în 2023</t>
  </si>
  <si>
    <t>Valoare apeluri (UE+BS)
Euro</t>
  </si>
  <si>
    <t>din care, nr. apeluri estimate a se lansa în TRIM III 2023</t>
  </si>
  <si>
    <t>Valoare apeluri (UE)
Euro</t>
  </si>
  <si>
    <t>Ghiduri lansate/care au fost lansate în consultare</t>
  </si>
  <si>
    <t>Valoare apeluri (UE)
Euro, conform ghiduri lansate în consultare</t>
  </si>
  <si>
    <t>Apeluri de proiecte lansate/linii de finanțare deschise</t>
  </si>
  <si>
    <t>Observații</t>
  </si>
  <si>
    <t>30 septembrie 2023</t>
  </si>
  <si>
    <t>1 noiembrie 2023</t>
  </si>
  <si>
    <t>1 decembrie 2023</t>
  </si>
  <si>
    <t>1 ianuarie 2024</t>
  </si>
  <si>
    <t>30 iunie 2026</t>
  </si>
  <si>
    <t>30 iunie 2025</t>
  </si>
  <si>
    <t>Consultare publică finalizată. Ghid în curs de aprobare</t>
  </si>
  <si>
    <t>Consultare publică în curs de elaborare</t>
  </si>
  <si>
    <t>Consultare publică finalizată. Ghid aprobat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</si>
</sst>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dd/mm/yy;@"/>
    <numFmt numFmtId="166" formatCode="[$-418]d\-mmm\-yy;@"/>
  </numFmts>
  <fonts count="12" x14ac:knownFonts="1">
    <font>
      <sz val="11"/>
      <color theme="1"/>
      <name val="Calibri"/>
      <family val="2"/>
      <charset val="238"/>
      <scheme val="minor"/>
    </font>
    <font>
      <sz val="11"/>
      <color theme="1"/>
      <name val="Calibri"/>
      <family val="2"/>
      <charset val="238"/>
      <scheme val="minor"/>
    </font>
    <font>
      <b/>
      <sz val="12"/>
      <color theme="0"/>
      <name val="Calibri"/>
      <family val="2"/>
      <scheme val="minor"/>
    </font>
    <font>
      <sz val="11"/>
      <color theme="1"/>
      <name val="Calibri"/>
      <family val="2"/>
      <scheme val="minor"/>
    </font>
    <font>
      <sz val="10"/>
      <name val="Arial"/>
      <family val="2"/>
      <charset val="238"/>
    </font>
    <font>
      <b/>
      <sz val="11"/>
      <color theme="1"/>
      <name val="Calibri"/>
      <family val="2"/>
      <charset val="238"/>
      <scheme val="minor"/>
    </font>
    <font>
      <b/>
      <sz val="12"/>
      <color rgb="FF000099"/>
      <name val="Calibri"/>
      <family val="2"/>
      <charset val="238"/>
      <scheme val="minor"/>
    </font>
    <font>
      <sz val="11"/>
      <name val="Calibri"/>
      <family val="2"/>
      <charset val="238"/>
      <scheme val="minor"/>
    </font>
    <font>
      <sz val="14"/>
      <color theme="1"/>
      <name val="Calibri"/>
      <family val="2"/>
      <charset val="238"/>
      <scheme val="minor"/>
    </font>
    <font>
      <b/>
      <sz val="14"/>
      <color theme="1"/>
      <name val="Calibri"/>
      <family val="2"/>
      <scheme val="minor"/>
    </font>
    <font>
      <sz val="8"/>
      <name val="Calibri"/>
      <family val="2"/>
      <charset val="238"/>
      <scheme val="minor"/>
    </font>
    <font>
      <sz val="9"/>
      <name val="Arial"/>
      <family val="2"/>
    </font>
  </fonts>
  <fills count="13">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9" tint="0.79998168889431442"/>
        <bgColor indexed="64"/>
      </patternFill>
    </fill>
    <fill>
      <patternFill patternType="solid">
        <fgColor rgb="FF66FFFF"/>
        <bgColor indexed="64"/>
      </patternFill>
    </fill>
    <fill>
      <patternFill patternType="solid">
        <fgColor theme="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diagonal/>
    </border>
    <border>
      <left style="thin">
        <color auto="1"/>
      </left>
      <right style="thin">
        <color auto="1"/>
      </right>
      <top/>
      <bottom/>
      <diagonal/>
    </border>
    <border>
      <left style="thin">
        <color auto="1"/>
      </left>
      <right/>
      <top/>
      <bottom style="medium">
        <color indexed="64"/>
      </bottom>
      <diagonal/>
    </border>
    <border>
      <left style="medium">
        <color indexed="64"/>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3" fillId="0" borderId="0"/>
    <xf numFmtId="43" fontId="1"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0" fontId="4" fillId="0" borderId="0"/>
  </cellStyleXfs>
  <cellXfs count="73">
    <xf numFmtId="0" fontId="0" fillId="0" borderId="0" xfId="0"/>
    <xf numFmtId="0" fontId="0" fillId="0" borderId="1" xfId="0" applyBorder="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center" vertical="top" wrapText="1"/>
    </xf>
    <xf numFmtId="3" fontId="0" fillId="0" borderId="0" xfId="0" applyNumberFormat="1" applyAlignment="1">
      <alignment horizontal="center" vertical="top" wrapText="1"/>
    </xf>
    <xf numFmtId="3" fontId="0" fillId="0" borderId="1" xfId="0" applyNumberFormat="1" applyBorder="1" applyAlignment="1">
      <alignment horizontal="center" vertical="top" wrapText="1"/>
    </xf>
    <xf numFmtId="0" fontId="0" fillId="0" borderId="0" xfId="0" applyAlignment="1">
      <alignment horizontal="center" vertical="center" wrapText="1"/>
    </xf>
    <xf numFmtId="17" fontId="5" fillId="3" borderId="4" xfId="0" applyNumberFormat="1" applyFont="1" applyFill="1" applyBorder="1" applyAlignment="1">
      <alignment horizontal="center" vertical="center" wrapText="1"/>
    </xf>
    <xf numFmtId="17" fontId="5" fillId="3" borderId="5" xfId="0" applyNumberFormat="1" applyFont="1" applyFill="1" applyBorder="1" applyAlignment="1">
      <alignment horizontal="center" vertical="center" wrapText="1"/>
    </xf>
    <xf numFmtId="0" fontId="6" fillId="0" borderId="0" xfId="0" applyFont="1" applyAlignment="1">
      <alignment horizontal="center" vertical="top" wrapText="1"/>
    </xf>
    <xf numFmtId="0" fontId="2" fillId="2" borderId="4" xfId="0"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0" xfId="0" applyFont="1" applyAlignment="1">
      <alignment horizontal="center" vertical="top" wrapText="1"/>
    </xf>
    <xf numFmtId="0" fontId="6" fillId="7" borderId="4" xfId="0" applyFont="1" applyFill="1" applyBorder="1" applyAlignment="1">
      <alignment horizontal="center" vertical="top" wrapText="1"/>
    </xf>
    <xf numFmtId="0" fontId="6" fillId="7" borderId="5" xfId="0" applyFont="1" applyFill="1" applyBorder="1" applyAlignment="1">
      <alignment horizontal="center" vertical="top" wrapText="1"/>
    </xf>
    <xf numFmtId="0" fontId="0" fillId="0" borderId="0" xfId="0" pivotButton="1"/>
    <xf numFmtId="0" fontId="0" fillId="0" borderId="0" xfId="0" applyAlignment="1">
      <alignment horizontal="left"/>
    </xf>
    <xf numFmtId="0" fontId="6" fillId="7" borderId="4" xfId="0" applyFont="1" applyFill="1" applyBorder="1" applyAlignment="1">
      <alignment horizontal="center" vertical="center" wrapText="1"/>
    </xf>
    <xf numFmtId="0" fontId="6" fillId="7" borderId="4" xfId="0" applyFont="1" applyFill="1" applyBorder="1" applyAlignment="1">
      <alignment horizontal="center" vertical="top"/>
    </xf>
    <xf numFmtId="0" fontId="0" fillId="0" borderId="0" xfId="0" applyAlignment="1">
      <alignment horizontal="center" vertical="top"/>
    </xf>
    <xf numFmtId="3" fontId="0" fillId="0" borderId="0" xfId="0" applyNumberFormat="1" applyAlignment="1">
      <alignment horizontal="center" vertical="top"/>
    </xf>
    <xf numFmtId="0" fontId="6" fillId="7" borderId="8" xfId="0" applyFont="1" applyFill="1" applyBorder="1" applyAlignment="1">
      <alignment horizontal="center" vertical="top"/>
    </xf>
    <xf numFmtId="14" fontId="0" fillId="0" borderId="0" xfId="0" applyNumberFormat="1" applyAlignment="1">
      <alignment horizontal="center" vertical="top"/>
    </xf>
    <xf numFmtId="165" fontId="2" fillId="2" borderId="4" xfId="0" applyNumberFormat="1" applyFont="1" applyFill="1" applyBorder="1" applyAlignment="1">
      <alignment horizontal="center" vertical="top" wrapText="1"/>
    </xf>
    <xf numFmtId="0" fontId="6" fillId="5"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6"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4" fontId="8" fillId="0" borderId="1" xfId="0" applyNumberFormat="1" applyFont="1" applyBorder="1" applyAlignment="1">
      <alignment horizontal="center" vertical="top"/>
    </xf>
    <xf numFmtId="4" fontId="9" fillId="6" borderId="1" xfId="0" applyNumberFormat="1" applyFont="1" applyFill="1" applyBorder="1" applyAlignment="1">
      <alignment horizontal="center" vertical="top"/>
    </xf>
    <xf numFmtId="3" fontId="8" fillId="0" borderId="1" xfId="0" applyNumberFormat="1" applyFont="1" applyBorder="1" applyAlignment="1">
      <alignment horizontal="center" vertical="top"/>
    </xf>
    <xf numFmtId="0" fontId="8" fillId="8" borderId="1" xfId="0" applyFont="1" applyFill="1" applyBorder="1" applyAlignment="1">
      <alignment horizontal="center" vertical="center" wrapText="1"/>
    </xf>
    <xf numFmtId="0" fontId="8" fillId="8" borderId="1" xfId="0" applyFont="1" applyFill="1" applyBorder="1" applyAlignment="1">
      <alignment horizontal="center" vertical="top" wrapText="1"/>
    </xf>
    <xf numFmtId="3" fontId="8" fillId="8" borderId="1" xfId="0" applyNumberFormat="1" applyFont="1" applyFill="1" applyBorder="1" applyAlignment="1">
      <alignment horizontal="center" vertical="top"/>
    </xf>
    <xf numFmtId="4" fontId="9" fillId="9" borderId="1" xfId="0" applyNumberFormat="1" applyFont="1" applyFill="1" applyBorder="1" applyAlignment="1">
      <alignment horizontal="center" vertical="center" wrapText="1"/>
    </xf>
    <xf numFmtId="1" fontId="0" fillId="0" borderId="0" xfId="0" applyNumberFormat="1"/>
    <xf numFmtId="0" fontId="6" fillId="7" borderId="10" xfId="0" applyFont="1" applyFill="1" applyBorder="1" applyAlignment="1">
      <alignment horizontal="center" vertical="top"/>
    </xf>
    <xf numFmtId="0" fontId="6" fillId="7" borderId="10" xfId="0" applyFont="1" applyFill="1" applyBorder="1" applyAlignment="1">
      <alignment horizontal="center" vertical="top" wrapText="1"/>
    </xf>
    <xf numFmtId="3" fontId="6" fillId="7" borderId="10" xfId="0" applyNumberFormat="1" applyFont="1" applyFill="1" applyBorder="1" applyAlignment="1">
      <alignment horizontal="center" vertical="top" wrapText="1"/>
    </xf>
    <xf numFmtId="0" fontId="6" fillId="7" borderId="8" xfId="0" applyFont="1" applyFill="1" applyBorder="1" applyAlignment="1">
      <alignment horizontal="center" vertical="top" wrapText="1"/>
    </xf>
    <xf numFmtId="0" fontId="6" fillId="7" borderId="11" xfId="0" applyFont="1" applyFill="1" applyBorder="1" applyAlignment="1">
      <alignment horizontal="center" vertical="top" wrapText="1"/>
    </xf>
    <xf numFmtId="0" fontId="6" fillId="7" borderId="12" xfId="0" applyFont="1" applyFill="1" applyBorder="1" applyAlignment="1">
      <alignment horizontal="center" vertical="top" wrapText="1"/>
    </xf>
    <xf numFmtId="0" fontId="7" fillId="0" borderId="7"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3" fontId="7" fillId="10" borderId="1" xfId="0" applyNumberFormat="1" applyFont="1" applyFill="1" applyBorder="1" applyAlignment="1">
      <alignment horizontal="center" vertical="top" wrapText="1"/>
    </xf>
    <xf numFmtId="0" fontId="7" fillId="0" borderId="1" xfId="0" applyFont="1" applyBorder="1" applyAlignment="1">
      <alignment vertical="top" wrapText="1"/>
    </xf>
    <xf numFmtId="3" fontId="7" fillId="0" borderId="1" xfId="0" applyNumberFormat="1" applyFont="1" applyBorder="1" applyAlignment="1">
      <alignment horizontal="center" vertical="top" wrapText="1"/>
    </xf>
    <xf numFmtId="9" fontId="7" fillId="0" borderId="1"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0" fontId="7" fillId="0" borderId="2" xfId="0" applyFont="1" applyBorder="1" applyAlignment="1">
      <alignment horizontal="center" vertical="top" wrapText="1"/>
    </xf>
    <xf numFmtId="0" fontId="7" fillId="11" borderId="1" xfId="0" applyFont="1" applyFill="1" applyBorder="1" applyAlignment="1">
      <alignment horizontal="center" vertical="top" wrapText="1"/>
    </xf>
    <xf numFmtId="0" fontId="7" fillId="4" borderId="1" xfId="0" applyFont="1" applyFill="1" applyBorder="1" applyAlignment="1">
      <alignment horizontal="center" vertical="top" wrapText="1"/>
    </xf>
    <xf numFmtId="3" fontId="7" fillId="10" borderId="0" xfId="0" applyNumberFormat="1" applyFont="1" applyFill="1" applyAlignment="1">
      <alignment horizontal="center" vertical="top" wrapText="1"/>
    </xf>
    <xf numFmtId="0" fontId="7" fillId="4" borderId="3" xfId="0" applyFont="1" applyFill="1" applyBorder="1" applyAlignment="1">
      <alignment horizontal="center" vertical="top" wrapText="1"/>
    </xf>
    <xf numFmtId="0" fontId="7" fillId="0" borderId="3" xfId="0" applyFont="1" applyBorder="1" applyAlignment="1">
      <alignment horizontal="center" vertical="top" wrapText="1"/>
    </xf>
    <xf numFmtId="3" fontId="7" fillId="0" borderId="3" xfId="0" applyNumberFormat="1" applyFont="1" applyBorder="1" applyAlignment="1">
      <alignment horizontal="center" vertical="top" wrapText="1"/>
    </xf>
    <xf numFmtId="9" fontId="7" fillId="0" borderId="3" xfId="0" applyNumberFormat="1" applyFont="1" applyBorder="1" applyAlignment="1">
      <alignment horizontal="center" vertical="top" wrapText="1"/>
    </xf>
    <xf numFmtId="0" fontId="7" fillId="0" borderId="9" xfId="0" applyFont="1" applyBorder="1" applyAlignment="1">
      <alignment horizontal="center" vertical="top" wrapText="1"/>
    </xf>
    <xf numFmtId="4" fontId="7" fillId="10" borderId="1" xfId="0" applyNumberFormat="1" applyFont="1" applyFill="1" applyBorder="1" applyAlignment="1">
      <alignment horizontal="center" vertical="top" wrapText="1"/>
    </xf>
    <xf numFmtId="3" fontId="7" fillId="10" borderId="3" xfId="0" applyNumberFormat="1" applyFont="1" applyFill="1" applyBorder="1" applyAlignment="1">
      <alignment horizontal="center" vertical="top" wrapText="1"/>
    </xf>
    <xf numFmtId="0" fontId="7" fillId="0" borderId="13" xfId="0" applyFont="1" applyBorder="1" applyAlignment="1">
      <alignment horizontal="center" vertical="top" wrapText="1"/>
    </xf>
    <xf numFmtId="3" fontId="7" fillId="10" borderId="14" xfId="0" applyNumberFormat="1" applyFont="1" applyFill="1" applyBorder="1" applyAlignment="1">
      <alignment horizontal="center" vertical="top" wrapText="1"/>
    </xf>
    <xf numFmtId="0" fontId="5"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wrapText="1"/>
    </xf>
    <xf numFmtId="0" fontId="5" fillId="12" borderId="1" xfId="0" applyFont="1" applyFill="1" applyBorder="1" applyAlignment="1">
      <alignment horizontal="center" vertical="top"/>
    </xf>
    <xf numFmtId="0" fontId="0" fillId="0" borderId="1" xfId="0" applyBorder="1" applyAlignment="1">
      <alignment horizontal="center" vertical="top"/>
    </xf>
    <xf numFmtId="3" fontId="0" fillId="0" borderId="1" xfId="0" applyNumberFormat="1" applyBorder="1" applyAlignment="1">
      <alignment horizontal="center" vertical="top"/>
    </xf>
  </cellXfs>
  <cellStyles count="7">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5 2 3 2 2" xfId="5" xr:uid="{00000000-0005-0000-0000-000005000000}"/>
    <cellStyle name="Normal 26 2" xfId="3" xr:uid="{00000000-0005-0000-0000-000006000000}"/>
  </cellStyles>
  <dxfs count="1">
    <dxf>
      <numFmt numFmtId="1" formatCode="0"/>
    </dxf>
  </dxfs>
  <tableStyles count="0" defaultTableStyle="TableStyleMedium2" defaultPivotStyle="PivotStyleLight16"/>
  <colors>
    <mruColors>
      <color rgb="FF66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o-RO"/>
  <c:roundedCorners val="0"/>
  <mc:AlternateContent xmlns:mc="http://schemas.openxmlformats.org/markup-compatibility/2006">
    <mc:Choice xmlns:c14="http://schemas.microsoft.com/office/drawing/2007/8/2/chart" Requires="c14">
      <c14:style val="102"/>
    </mc:Choice>
    <mc:Fallback>
      <c:style val="2"/>
    </mc:Fallback>
  </mc:AlternateContent>
  <c:pivotSource>
    <c:name>[Foaie de lucru din C  Users adrian.olteanu AppData Local Microsoft Windows INetCache Content.Outlook FNP3ISCM Comunicat calendar apeluri PT.docx]Sheet1Pivot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273097472"/>
        <c:axId val="273074624"/>
      </c:barChart>
      <c:catAx>
        <c:axId val="27309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074624"/>
        <c:crosses val="autoZero"/>
        <c:auto val="1"/>
        <c:lblAlgn val="ctr"/>
        <c:lblOffset val="100"/>
        <c:noMultiLvlLbl val="0"/>
      </c:catAx>
      <c:valAx>
        <c:axId val="273074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09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o-RO"/>
  <c:roundedCorners val="0"/>
  <mc:AlternateContent xmlns:mc="http://schemas.openxmlformats.org/markup-compatibility/2006">
    <mc:Choice xmlns:c14="http://schemas.microsoft.com/office/drawing/2007/8/2/chart" Requires="c14">
      <c14:style val="102"/>
    </mc:Choice>
    <mc:Fallback>
      <c:style val="2"/>
    </mc:Fallback>
  </mc:AlternateContent>
  <c:pivotSource>
    <c:name>[Foaie de lucru din C  Users adrian.olteanu AppData Local Microsoft Windows INetCache Content.Outlook FNP3ISCM Comunicat calendar apeluri PT.docx]Sheet1Pivot chart 0!PivotTable4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73098560"/>
        <c:axId val="273089856"/>
      </c:barChart>
      <c:catAx>
        <c:axId val="27309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089856"/>
        <c:crosses val="autoZero"/>
        <c:auto val="1"/>
        <c:lblAlgn val="ctr"/>
        <c:lblOffset val="100"/>
        <c:noMultiLvlLbl val="0"/>
      </c:catAx>
      <c:valAx>
        <c:axId val="273089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098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82"/>
  <sheetViews>
    <sheetView tabSelected="1" view="pageBreakPreview" topLeftCell="I1" zoomScale="85" zoomScaleNormal="90" zoomScaleSheetLayoutView="85" workbookViewId="0">
      <pane ySplit="1" topLeftCell="A2" activePane="bottomLeft" state="frozen"/>
      <selection activeCell="P1" sqref="P1"/>
      <selection pane="bottomLeft" activeCell="AC14" sqref="AC14"/>
    </sheetView>
  </sheetViews>
  <sheetFormatPr defaultColWidth="9.140625" defaultRowHeight="15" customHeight="1" x14ac:dyDescent="0.25"/>
  <cols>
    <col min="1" max="1" width="10.28515625" style="14" customWidth="1"/>
    <col min="2" max="2" width="24.5703125" style="6" customWidth="1"/>
    <col min="3" max="3" width="20.140625" style="2" customWidth="1"/>
    <col min="4" max="4" width="33.7109375" style="21" customWidth="1"/>
    <col min="5" max="6" width="25.5703125" style="21" customWidth="1"/>
    <col min="7" max="7" width="25.5703125" style="2" customWidth="1"/>
    <col min="8" max="8" width="25.7109375" style="4" customWidth="1"/>
    <col min="9" max="9" width="29" style="4" customWidth="1"/>
    <col min="10" max="10" width="22.28515625" style="2" customWidth="1"/>
    <col min="11" max="11" width="23" style="2" customWidth="1"/>
    <col min="12" max="12" width="28" style="21" customWidth="1"/>
    <col min="13" max="13" width="23" style="21" customWidth="1"/>
    <col min="14" max="14" width="21.42578125" style="21" customWidth="1"/>
    <col min="15" max="15" width="20.28515625" style="22" customWidth="1"/>
    <col min="16" max="16" width="21.42578125" style="21" customWidth="1"/>
    <col min="17" max="17" width="21" style="21" customWidth="1"/>
    <col min="18" max="18" width="26.28515625" style="21" customWidth="1"/>
    <col min="19" max="19" width="18.5703125" style="21" customWidth="1"/>
    <col min="20" max="20" width="25.5703125" style="3" customWidth="1"/>
    <col min="21" max="25" width="25.5703125" style="24" customWidth="1"/>
    <col min="26" max="28" width="25.5703125" style="3" customWidth="1"/>
    <col min="29" max="29" width="25.5703125" style="2" customWidth="1"/>
    <col min="30" max="30" width="18.140625" style="2" customWidth="1"/>
    <col min="31" max="31" width="13.42578125" style="2" hidden="1" customWidth="1"/>
    <col min="32" max="33" width="9.140625" style="2" hidden="1" customWidth="1"/>
    <col min="34" max="54" width="0" style="2" hidden="1" customWidth="1"/>
    <col min="55" max="16384" width="9.140625" style="2"/>
  </cols>
  <sheetData>
    <row r="1" spans="1:54" s="6" customFormat="1" ht="93.75" customHeight="1" x14ac:dyDescent="0.25">
      <c r="A1" s="10" t="s">
        <v>0</v>
      </c>
      <c r="B1" s="10" t="s">
        <v>10</v>
      </c>
      <c r="C1" s="10" t="s">
        <v>1</v>
      </c>
      <c r="D1" s="10" t="s">
        <v>2</v>
      </c>
      <c r="E1" s="10" t="s">
        <v>3</v>
      </c>
      <c r="F1" s="10" t="s">
        <v>76</v>
      </c>
      <c r="G1" s="10" t="s">
        <v>15</v>
      </c>
      <c r="H1" s="10" t="s">
        <v>22</v>
      </c>
      <c r="I1" s="11" t="s">
        <v>23</v>
      </c>
      <c r="J1" s="10" t="s">
        <v>24</v>
      </c>
      <c r="K1" s="10" t="s">
        <v>72</v>
      </c>
      <c r="L1" s="10" t="s">
        <v>74</v>
      </c>
      <c r="M1" s="10" t="s">
        <v>4</v>
      </c>
      <c r="N1" s="10" t="s">
        <v>5</v>
      </c>
      <c r="O1" s="11" t="s">
        <v>6</v>
      </c>
      <c r="P1" s="10" t="s">
        <v>17</v>
      </c>
      <c r="Q1" s="10" t="s">
        <v>16</v>
      </c>
      <c r="R1" s="10" t="s">
        <v>25</v>
      </c>
      <c r="S1" s="10" t="s">
        <v>7</v>
      </c>
      <c r="T1" s="10" t="s">
        <v>34</v>
      </c>
      <c r="U1" s="10" t="s">
        <v>35</v>
      </c>
      <c r="V1" s="12" t="s">
        <v>18</v>
      </c>
      <c r="W1" s="12" t="s">
        <v>19</v>
      </c>
      <c r="X1" s="12" t="s">
        <v>13</v>
      </c>
      <c r="Y1" s="12" t="s">
        <v>14</v>
      </c>
      <c r="Z1" s="12" t="s">
        <v>20</v>
      </c>
      <c r="AA1" s="12" t="s">
        <v>21</v>
      </c>
      <c r="AB1" s="12" t="s">
        <v>110</v>
      </c>
      <c r="AC1" s="25" t="s">
        <v>8</v>
      </c>
      <c r="AD1" s="13" t="s">
        <v>9</v>
      </c>
      <c r="AE1" s="7">
        <v>44927</v>
      </c>
      <c r="AF1" s="7">
        <v>44958</v>
      </c>
      <c r="AG1" s="7">
        <v>44986</v>
      </c>
      <c r="AH1" s="7">
        <v>45017</v>
      </c>
      <c r="AI1" s="7">
        <v>45047</v>
      </c>
      <c r="AJ1" s="7">
        <v>45078</v>
      </c>
      <c r="AK1" s="7">
        <v>45108</v>
      </c>
      <c r="AL1" s="7">
        <v>45139</v>
      </c>
      <c r="AM1" s="7">
        <v>45170</v>
      </c>
      <c r="AN1" s="7">
        <v>45200</v>
      </c>
      <c r="AO1" s="7">
        <v>45231</v>
      </c>
      <c r="AP1" s="7">
        <v>45261</v>
      </c>
      <c r="AQ1" s="7">
        <v>45292</v>
      </c>
      <c r="AR1" s="7">
        <v>45323</v>
      </c>
      <c r="AS1" s="7">
        <v>45352</v>
      </c>
      <c r="AT1" s="7">
        <v>45383</v>
      </c>
      <c r="AU1" s="7">
        <v>45413</v>
      </c>
      <c r="AV1" s="7">
        <v>45444</v>
      </c>
      <c r="AW1" s="7">
        <v>45474</v>
      </c>
      <c r="AX1" s="7">
        <v>45505</v>
      </c>
      <c r="AY1" s="7">
        <v>45536</v>
      </c>
      <c r="AZ1" s="7">
        <v>45566</v>
      </c>
      <c r="BA1" s="7">
        <v>45597</v>
      </c>
      <c r="BB1" s="8">
        <v>45627</v>
      </c>
    </row>
    <row r="2" spans="1:54" s="14" customFormat="1" ht="92.25" customHeight="1" x14ac:dyDescent="0.25">
      <c r="A2" s="47">
        <v>1</v>
      </c>
      <c r="B2" s="48" t="s">
        <v>36</v>
      </c>
      <c r="C2" s="48" t="s">
        <v>57</v>
      </c>
      <c r="D2" s="49" t="s">
        <v>116</v>
      </c>
      <c r="E2" s="49" t="s">
        <v>68</v>
      </c>
      <c r="F2" s="49" t="s">
        <v>70</v>
      </c>
      <c r="G2" s="48" t="s">
        <v>71</v>
      </c>
      <c r="H2" s="50">
        <v>833625000</v>
      </c>
      <c r="I2" s="50">
        <f>40%*H2</f>
        <v>333450000</v>
      </c>
      <c r="J2" s="66" t="s">
        <v>30</v>
      </c>
      <c r="K2" s="51" t="s">
        <v>92</v>
      </c>
      <c r="L2" s="48" t="s">
        <v>87</v>
      </c>
      <c r="M2" s="48" t="s">
        <v>11</v>
      </c>
      <c r="N2" s="48" t="s">
        <v>31</v>
      </c>
      <c r="O2" s="52" t="s">
        <v>31</v>
      </c>
      <c r="P2" s="53" t="s">
        <v>31</v>
      </c>
      <c r="Q2" s="48" t="s">
        <v>31</v>
      </c>
      <c r="R2" s="48" t="s">
        <v>31</v>
      </c>
      <c r="S2" s="48" t="s">
        <v>75</v>
      </c>
      <c r="T2" s="54">
        <v>45154</v>
      </c>
      <c r="U2" s="54">
        <v>46022</v>
      </c>
      <c r="V2" s="54" t="s">
        <v>128</v>
      </c>
      <c r="W2" s="54">
        <f>U2</f>
        <v>46022</v>
      </c>
      <c r="X2" s="54" t="s">
        <v>129</v>
      </c>
      <c r="Y2" s="54" t="s">
        <v>131</v>
      </c>
      <c r="Z2" s="54">
        <v>44197</v>
      </c>
      <c r="AA2" s="54">
        <v>47483</v>
      </c>
      <c r="AB2" s="48" t="s">
        <v>135</v>
      </c>
      <c r="AC2" s="48"/>
      <c r="AD2" s="55"/>
      <c r="AE2" s="48"/>
      <c r="AF2" s="48"/>
      <c r="AG2" s="48"/>
      <c r="AH2" s="56"/>
      <c r="AI2" s="56"/>
      <c r="AJ2" s="56"/>
      <c r="AK2" s="56"/>
      <c r="AL2" s="56"/>
      <c r="AM2" s="56"/>
      <c r="AN2" s="56"/>
      <c r="AO2" s="56"/>
      <c r="AP2" s="56"/>
      <c r="AQ2" s="57"/>
      <c r="AR2" s="57"/>
      <c r="AS2" s="57"/>
      <c r="AT2" s="57"/>
      <c r="AU2" s="57"/>
      <c r="AV2" s="57"/>
      <c r="AW2" s="57"/>
      <c r="AX2" s="57"/>
      <c r="AY2" s="57"/>
      <c r="AZ2" s="57"/>
      <c r="BA2" s="57"/>
      <c r="BB2" s="57"/>
    </row>
    <row r="3" spans="1:54" s="14" customFormat="1" ht="135.75" customHeight="1" x14ac:dyDescent="0.25">
      <c r="A3" s="47">
        <f t="shared" ref="A3:A20" si="0">A2+1</f>
        <v>2</v>
      </c>
      <c r="B3" s="48" t="s">
        <v>36</v>
      </c>
      <c r="C3" s="48" t="s">
        <v>57</v>
      </c>
      <c r="D3" s="49" t="s">
        <v>91</v>
      </c>
      <c r="E3" s="49" t="s">
        <v>68</v>
      </c>
      <c r="F3" s="49" t="s">
        <v>70</v>
      </c>
      <c r="G3" s="48" t="s">
        <v>71</v>
      </c>
      <c r="H3" s="50">
        <v>3624875000</v>
      </c>
      <c r="I3" s="50">
        <f t="shared" ref="I3:I4" si="1">40%*H3</f>
        <v>1449950000</v>
      </c>
      <c r="J3" s="66" t="s">
        <v>58</v>
      </c>
      <c r="K3" s="51" t="s">
        <v>92</v>
      </c>
      <c r="L3" s="48" t="s">
        <v>87</v>
      </c>
      <c r="M3" s="48" t="s">
        <v>11</v>
      </c>
      <c r="N3" s="48" t="s">
        <v>31</v>
      </c>
      <c r="O3" s="52" t="s">
        <v>31</v>
      </c>
      <c r="P3" s="53" t="s">
        <v>31</v>
      </c>
      <c r="Q3" s="48" t="s">
        <v>31</v>
      </c>
      <c r="R3" s="48" t="s">
        <v>31</v>
      </c>
      <c r="S3" s="48" t="s">
        <v>75</v>
      </c>
      <c r="T3" s="54">
        <v>45154</v>
      </c>
      <c r="U3" s="54">
        <v>46022</v>
      </c>
      <c r="V3" s="54" t="s">
        <v>128</v>
      </c>
      <c r="W3" s="54">
        <f t="shared" ref="W3:W20" si="2">U3</f>
        <v>46022</v>
      </c>
      <c r="X3" s="54" t="s">
        <v>129</v>
      </c>
      <c r="Y3" s="54" t="s">
        <v>131</v>
      </c>
      <c r="Z3" s="54">
        <v>44197</v>
      </c>
      <c r="AA3" s="54">
        <v>47483</v>
      </c>
      <c r="AB3" s="48" t="s">
        <v>135</v>
      </c>
      <c r="AC3" s="48"/>
      <c r="AD3" s="55"/>
      <c r="AE3" s="48"/>
      <c r="AF3" s="48"/>
      <c r="AG3" s="48"/>
      <c r="AH3" s="57"/>
      <c r="AI3" s="57"/>
      <c r="AJ3" s="57"/>
      <c r="AK3" s="57"/>
      <c r="AL3" s="57"/>
      <c r="AM3" s="57"/>
      <c r="AN3" s="57"/>
      <c r="AO3" s="57"/>
      <c r="AP3" s="57"/>
      <c r="AQ3" s="57"/>
      <c r="AR3" s="57"/>
      <c r="AS3" s="57"/>
      <c r="AT3" s="57"/>
      <c r="AU3" s="57"/>
      <c r="AV3" s="57"/>
      <c r="AW3" s="57"/>
      <c r="AX3" s="57"/>
      <c r="AY3" s="57"/>
      <c r="AZ3" s="57"/>
      <c r="BA3" s="57"/>
      <c r="BB3" s="57"/>
    </row>
    <row r="4" spans="1:54" s="14" customFormat="1" ht="138" customHeight="1" x14ac:dyDescent="0.25">
      <c r="A4" s="47">
        <f t="shared" si="0"/>
        <v>3</v>
      </c>
      <c r="B4" s="48" t="s">
        <v>36</v>
      </c>
      <c r="C4" s="48" t="s">
        <v>57</v>
      </c>
      <c r="D4" s="49" t="s">
        <v>90</v>
      </c>
      <c r="E4" s="49" t="s">
        <v>68</v>
      </c>
      <c r="F4" s="49" t="s">
        <v>70</v>
      </c>
      <c r="G4" s="48" t="s">
        <v>71</v>
      </c>
      <c r="H4" s="50">
        <v>4000000</v>
      </c>
      <c r="I4" s="50">
        <f t="shared" si="1"/>
        <v>1600000</v>
      </c>
      <c r="J4" s="66" t="s">
        <v>58</v>
      </c>
      <c r="K4" s="51" t="s">
        <v>92</v>
      </c>
      <c r="L4" s="48" t="s">
        <v>87</v>
      </c>
      <c r="M4" s="48" t="s">
        <v>11</v>
      </c>
      <c r="N4" s="48" t="s">
        <v>31</v>
      </c>
      <c r="O4" s="52" t="s">
        <v>31</v>
      </c>
      <c r="P4" s="53" t="s">
        <v>31</v>
      </c>
      <c r="Q4" s="48" t="s">
        <v>31</v>
      </c>
      <c r="R4" s="48" t="s">
        <v>31</v>
      </c>
      <c r="S4" s="48" t="s">
        <v>75</v>
      </c>
      <c r="T4" s="54">
        <v>45154</v>
      </c>
      <c r="U4" s="54">
        <v>46022</v>
      </c>
      <c r="V4" s="54" t="s">
        <v>128</v>
      </c>
      <c r="W4" s="54">
        <f t="shared" si="2"/>
        <v>46022</v>
      </c>
      <c r="X4" s="54" t="s">
        <v>129</v>
      </c>
      <c r="Y4" s="54" t="s">
        <v>131</v>
      </c>
      <c r="Z4" s="54">
        <v>44197</v>
      </c>
      <c r="AA4" s="54">
        <v>47483</v>
      </c>
      <c r="AB4" s="48" t="s">
        <v>135</v>
      </c>
      <c r="AC4" s="48"/>
      <c r="AD4" s="55"/>
      <c r="AE4" s="48"/>
      <c r="AF4" s="48"/>
      <c r="AG4" s="48"/>
      <c r="AH4" s="57"/>
      <c r="AI4" s="57"/>
      <c r="AJ4" s="57"/>
      <c r="AK4" s="57"/>
      <c r="AL4" s="57"/>
      <c r="AM4" s="57"/>
      <c r="AN4" s="57"/>
      <c r="AO4" s="57"/>
      <c r="AP4" s="57"/>
      <c r="AQ4" s="57"/>
      <c r="AR4" s="57"/>
      <c r="AS4" s="57"/>
      <c r="AT4" s="57"/>
      <c r="AU4" s="57"/>
      <c r="AV4" s="57"/>
      <c r="AW4" s="57"/>
      <c r="AX4" s="57"/>
      <c r="AY4" s="57"/>
      <c r="AZ4" s="57"/>
      <c r="BA4" s="57"/>
      <c r="BB4" s="57"/>
    </row>
    <row r="5" spans="1:54" s="14" customFormat="1" ht="132" customHeight="1" x14ac:dyDescent="0.25">
      <c r="A5" s="47">
        <f t="shared" si="0"/>
        <v>4</v>
      </c>
      <c r="B5" s="48" t="s">
        <v>36</v>
      </c>
      <c r="C5" s="48" t="s">
        <v>57</v>
      </c>
      <c r="D5" s="49" t="s">
        <v>77</v>
      </c>
      <c r="E5" s="49" t="s">
        <v>68</v>
      </c>
      <c r="F5" s="49" t="s">
        <v>70</v>
      </c>
      <c r="G5" s="48" t="s">
        <v>71</v>
      </c>
      <c r="H5" s="58">
        <v>157657500</v>
      </c>
      <c r="I5" s="67">
        <f>40%*H5</f>
        <v>63063000</v>
      </c>
      <c r="J5" s="48" t="s">
        <v>30</v>
      </c>
      <c r="K5" s="49" t="s">
        <v>73</v>
      </c>
      <c r="L5" s="48" t="s">
        <v>86</v>
      </c>
      <c r="M5" s="48" t="s">
        <v>11</v>
      </c>
      <c r="N5" s="48" t="s">
        <v>31</v>
      </c>
      <c r="O5" s="52" t="s">
        <v>31</v>
      </c>
      <c r="P5" s="53" t="s">
        <v>31</v>
      </c>
      <c r="Q5" s="48" t="s">
        <v>31</v>
      </c>
      <c r="R5" s="48" t="s">
        <v>31</v>
      </c>
      <c r="S5" s="48" t="s">
        <v>75</v>
      </c>
      <c r="T5" s="54">
        <v>45154</v>
      </c>
      <c r="U5" s="54">
        <v>46022</v>
      </c>
      <c r="V5" s="54" t="s">
        <v>128</v>
      </c>
      <c r="W5" s="54">
        <f t="shared" si="2"/>
        <v>46022</v>
      </c>
      <c r="X5" s="54" t="s">
        <v>129</v>
      </c>
      <c r="Y5" s="54" t="s">
        <v>131</v>
      </c>
      <c r="Z5" s="54">
        <v>44197</v>
      </c>
      <c r="AA5" s="54">
        <v>47483</v>
      </c>
      <c r="AB5" s="48" t="s">
        <v>133</v>
      </c>
      <c r="AC5" s="48"/>
      <c r="AD5" s="55"/>
      <c r="AE5" s="48"/>
      <c r="AF5" s="48"/>
      <c r="AG5" s="48"/>
      <c r="AH5" s="48"/>
      <c r="AI5" s="48"/>
      <c r="AJ5" s="48"/>
      <c r="AK5" s="48"/>
      <c r="AL5" s="48"/>
      <c r="AM5" s="48"/>
      <c r="AN5" s="48"/>
      <c r="AO5" s="48"/>
      <c r="AP5" s="48"/>
      <c r="AQ5" s="48"/>
      <c r="AR5" s="48"/>
      <c r="AS5" s="48"/>
      <c r="AT5" s="48"/>
      <c r="AU5" s="48"/>
      <c r="AV5" s="48"/>
      <c r="AW5" s="48"/>
      <c r="AX5" s="48"/>
      <c r="AY5" s="48"/>
      <c r="AZ5" s="48"/>
      <c r="BA5" s="48"/>
      <c r="BB5" s="48"/>
    </row>
    <row r="6" spans="1:54" s="14" customFormat="1" ht="135.75" customHeight="1" x14ac:dyDescent="0.25">
      <c r="A6" s="47">
        <f t="shared" si="0"/>
        <v>5</v>
      </c>
      <c r="B6" s="48" t="s">
        <v>36</v>
      </c>
      <c r="C6" s="48" t="s">
        <v>57</v>
      </c>
      <c r="D6" s="49" t="s">
        <v>78</v>
      </c>
      <c r="E6" s="49" t="s">
        <v>69</v>
      </c>
      <c r="F6" s="48" t="s">
        <v>70</v>
      </c>
      <c r="G6" s="48" t="s">
        <v>71</v>
      </c>
      <c r="H6" s="50">
        <v>592342500</v>
      </c>
      <c r="I6" s="50">
        <v>236937000</v>
      </c>
      <c r="J6" s="48" t="s">
        <v>30</v>
      </c>
      <c r="K6" s="49" t="s">
        <v>73</v>
      </c>
      <c r="L6" s="48" t="s">
        <v>87</v>
      </c>
      <c r="M6" s="48" t="s">
        <v>11</v>
      </c>
      <c r="N6" s="48" t="s">
        <v>31</v>
      </c>
      <c r="O6" s="52" t="s">
        <v>31</v>
      </c>
      <c r="P6" s="53" t="s">
        <v>31</v>
      </c>
      <c r="Q6" s="48" t="s">
        <v>31</v>
      </c>
      <c r="R6" s="48" t="s">
        <v>31</v>
      </c>
      <c r="S6" s="48" t="s">
        <v>75</v>
      </c>
      <c r="T6" s="54">
        <v>45154</v>
      </c>
      <c r="U6" s="54">
        <v>46022</v>
      </c>
      <c r="V6" s="54" t="s">
        <v>128</v>
      </c>
      <c r="W6" s="54">
        <f t="shared" si="2"/>
        <v>46022</v>
      </c>
      <c r="X6" s="54" t="s">
        <v>129</v>
      </c>
      <c r="Y6" s="54" t="s">
        <v>131</v>
      </c>
      <c r="Z6" s="54">
        <v>44197</v>
      </c>
      <c r="AA6" s="54">
        <v>47483</v>
      </c>
      <c r="AB6" s="48" t="s">
        <v>133</v>
      </c>
      <c r="AC6" s="48"/>
      <c r="AD6" s="55"/>
      <c r="AE6" s="48"/>
      <c r="AF6" s="48"/>
      <c r="AG6" s="48"/>
      <c r="AH6" s="48"/>
      <c r="AI6" s="48"/>
      <c r="AJ6" s="48"/>
      <c r="AK6" s="48"/>
      <c r="AL6" s="48"/>
      <c r="AM6" s="48"/>
      <c r="AN6" s="48"/>
      <c r="AO6" s="48"/>
      <c r="AP6" s="48"/>
      <c r="AQ6" s="48"/>
      <c r="AR6" s="48"/>
      <c r="AS6" s="48"/>
      <c r="AT6" s="48"/>
      <c r="AU6" s="48"/>
      <c r="AV6" s="48"/>
      <c r="AW6" s="48"/>
      <c r="AX6" s="48"/>
      <c r="AY6" s="48"/>
      <c r="AZ6" s="48"/>
      <c r="BA6" s="48"/>
      <c r="BB6" s="48"/>
    </row>
    <row r="7" spans="1:54" s="14" customFormat="1" ht="135" customHeight="1" x14ac:dyDescent="0.25">
      <c r="A7" s="47">
        <f t="shared" si="0"/>
        <v>6</v>
      </c>
      <c r="B7" s="48" t="s">
        <v>36</v>
      </c>
      <c r="C7" s="48" t="s">
        <v>57</v>
      </c>
      <c r="D7" s="48" t="s">
        <v>93</v>
      </c>
      <c r="E7" s="49" t="s">
        <v>68</v>
      </c>
      <c r="F7" s="49" t="s">
        <v>70</v>
      </c>
      <c r="G7" s="48" t="s">
        <v>71</v>
      </c>
      <c r="H7" s="50">
        <v>177650000</v>
      </c>
      <c r="I7" s="50">
        <f>40%*H7</f>
        <v>71060000</v>
      </c>
      <c r="J7" s="48" t="s">
        <v>30</v>
      </c>
      <c r="K7" s="48" t="s">
        <v>96</v>
      </c>
      <c r="L7" s="48" t="s">
        <v>87</v>
      </c>
      <c r="M7" s="48" t="s">
        <v>95</v>
      </c>
      <c r="N7" s="48" t="s">
        <v>31</v>
      </c>
      <c r="O7" s="52" t="s">
        <v>31</v>
      </c>
      <c r="P7" s="53" t="s">
        <v>31</v>
      </c>
      <c r="Q7" s="48" t="s">
        <v>31</v>
      </c>
      <c r="R7" s="48" t="s">
        <v>31</v>
      </c>
      <c r="S7" s="48" t="s">
        <v>75</v>
      </c>
      <c r="T7" s="54">
        <v>45154</v>
      </c>
      <c r="U7" s="54">
        <v>46022</v>
      </c>
      <c r="V7" s="54" t="s">
        <v>128</v>
      </c>
      <c r="W7" s="54">
        <f t="shared" si="2"/>
        <v>46022</v>
      </c>
      <c r="X7" s="54" t="s">
        <v>129</v>
      </c>
      <c r="Y7" s="54" t="s">
        <v>131</v>
      </c>
      <c r="Z7" s="54">
        <v>44197</v>
      </c>
      <c r="AA7" s="54">
        <v>47483</v>
      </c>
      <c r="AB7" s="48" t="s">
        <v>133</v>
      </c>
      <c r="AC7" s="48"/>
      <c r="AD7" s="55"/>
      <c r="AE7" s="48"/>
      <c r="AF7" s="48"/>
      <c r="AG7" s="48"/>
      <c r="AH7" s="57"/>
      <c r="AI7" s="57"/>
      <c r="AJ7" s="57"/>
      <c r="AK7" s="57"/>
      <c r="AL7" s="57"/>
      <c r="AM7" s="57"/>
      <c r="AN7" s="57"/>
      <c r="AO7" s="57"/>
      <c r="AP7" s="57"/>
      <c r="AQ7" s="57"/>
      <c r="AR7" s="57"/>
      <c r="AS7" s="57"/>
      <c r="AT7" s="57"/>
      <c r="AU7" s="57"/>
      <c r="AV7" s="57"/>
      <c r="AW7" s="57"/>
      <c r="AX7" s="57"/>
      <c r="AY7" s="57"/>
      <c r="AZ7" s="57"/>
      <c r="BA7" s="57"/>
      <c r="BB7" s="57"/>
    </row>
    <row r="8" spans="1:54" s="14" customFormat="1" ht="123.75" customHeight="1" x14ac:dyDescent="0.25">
      <c r="A8" s="47">
        <f t="shared" si="0"/>
        <v>7</v>
      </c>
      <c r="B8" s="48" t="s">
        <v>36</v>
      </c>
      <c r="C8" s="48" t="s">
        <v>57</v>
      </c>
      <c r="D8" s="48" t="s">
        <v>94</v>
      </c>
      <c r="E8" s="49" t="s">
        <v>69</v>
      </c>
      <c r="F8" s="48" t="s">
        <v>70</v>
      </c>
      <c r="G8" s="48" t="s">
        <v>71</v>
      </c>
      <c r="H8" s="50">
        <v>72350000</v>
      </c>
      <c r="I8" s="50">
        <f t="shared" ref="I8" si="3">40%*H8</f>
        <v>28940000</v>
      </c>
      <c r="J8" s="48" t="s">
        <v>30</v>
      </c>
      <c r="K8" s="48" t="s">
        <v>96</v>
      </c>
      <c r="L8" s="48" t="s">
        <v>87</v>
      </c>
      <c r="M8" s="48" t="s">
        <v>11</v>
      </c>
      <c r="N8" s="48" t="s">
        <v>31</v>
      </c>
      <c r="O8" s="52" t="s">
        <v>31</v>
      </c>
      <c r="P8" s="53" t="s">
        <v>31</v>
      </c>
      <c r="Q8" s="48" t="s">
        <v>31</v>
      </c>
      <c r="R8" s="48" t="s">
        <v>31</v>
      </c>
      <c r="S8" s="48" t="s">
        <v>75</v>
      </c>
      <c r="T8" s="54">
        <v>45154</v>
      </c>
      <c r="U8" s="54">
        <v>46022</v>
      </c>
      <c r="V8" s="54" t="s">
        <v>128</v>
      </c>
      <c r="W8" s="54">
        <f t="shared" si="2"/>
        <v>46022</v>
      </c>
      <c r="X8" s="54" t="s">
        <v>129</v>
      </c>
      <c r="Y8" s="54" t="s">
        <v>131</v>
      </c>
      <c r="Z8" s="54">
        <v>44197</v>
      </c>
      <c r="AA8" s="54">
        <v>47483</v>
      </c>
      <c r="AB8" s="48" t="s">
        <v>133</v>
      </c>
      <c r="AC8" s="48"/>
      <c r="AD8" s="55"/>
      <c r="AE8" s="48"/>
      <c r="AF8" s="48"/>
      <c r="AG8" s="48"/>
      <c r="AH8" s="57"/>
      <c r="AI8" s="57"/>
      <c r="AJ8" s="57"/>
      <c r="AK8" s="57"/>
      <c r="AL8" s="57"/>
      <c r="AM8" s="57"/>
      <c r="AN8" s="57"/>
      <c r="AO8" s="57"/>
      <c r="AP8" s="57"/>
      <c r="AQ8" s="57"/>
      <c r="AR8" s="57"/>
      <c r="AS8" s="57"/>
      <c r="AT8" s="57"/>
      <c r="AU8" s="57"/>
      <c r="AV8" s="57"/>
      <c r="AW8" s="57"/>
      <c r="AX8" s="57"/>
      <c r="AY8" s="57"/>
      <c r="AZ8" s="57"/>
      <c r="BA8" s="57"/>
      <c r="BB8" s="57"/>
    </row>
    <row r="9" spans="1:54" s="14" customFormat="1" ht="120" x14ac:dyDescent="0.25">
      <c r="A9" s="47">
        <f t="shared" si="0"/>
        <v>8</v>
      </c>
      <c r="B9" s="48" t="s">
        <v>36</v>
      </c>
      <c r="C9" s="48" t="s">
        <v>57</v>
      </c>
      <c r="D9" s="48" t="s">
        <v>97</v>
      </c>
      <c r="E9" s="49" t="s">
        <v>68</v>
      </c>
      <c r="F9" s="49" t="s">
        <v>70</v>
      </c>
      <c r="G9" s="48" t="s">
        <v>71</v>
      </c>
      <c r="H9" s="50">
        <v>1356380000</v>
      </c>
      <c r="I9" s="50">
        <v>678190000</v>
      </c>
      <c r="J9" s="48" t="s">
        <v>30</v>
      </c>
      <c r="K9" s="48" t="s">
        <v>98</v>
      </c>
      <c r="L9" s="48" t="s">
        <v>87</v>
      </c>
      <c r="M9" s="48" t="s">
        <v>11</v>
      </c>
      <c r="N9" s="48" t="s">
        <v>31</v>
      </c>
      <c r="O9" s="52" t="s">
        <v>31</v>
      </c>
      <c r="P9" s="53" t="s">
        <v>31</v>
      </c>
      <c r="Q9" s="48" t="s">
        <v>31</v>
      </c>
      <c r="R9" s="48" t="s">
        <v>31</v>
      </c>
      <c r="S9" s="48" t="s">
        <v>75</v>
      </c>
      <c r="T9" s="54">
        <v>45154</v>
      </c>
      <c r="U9" s="54">
        <v>46022</v>
      </c>
      <c r="V9" s="54" t="s">
        <v>128</v>
      </c>
      <c r="W9" s="54">
        <f t="shared" si="2"/>
        <v>46022</v>
      </c>
      <c r="X9" s="54" t="s">
        <v>129</v>
      </c>
      <c r="Y9" s="54" t="s">
        <v>131</v>
      </c>
      <c r="Z9" s="54">
        <v>44197</v>
      </c>
      <c r="AA9" s="54">
        <v>47483</v>
      </c>
      <c r="AB9" s="48" t="s">
        <v>133</v>
      </c>
      <c r="AC9" s="48"/>
      <c r="AD9" s="55"/>
      <c r="AE9" s="48"/>
      <c r="AF9" s="48"/>
      <c r="AG9" s="48"/>
      <c r="AH9" s="48"/>
      <c r="AI9" s="48"/>
      <c r="AJ9" s="48"/>
      <c r="AK9" s="48"/>
      <c r="AL9" s="48"/>
      <c r="AM9" s="48"/>
      <c r="AN9" s="48"/>
      <c r="AO9" s="48"/>
      <c r="AP9" s="48"/>
      <c r="AQ9" s="48"/>
      <c r="AR9" s="48"/>
      <c r="AS9" s="48"/>
      <c r="AT9" s="48"/>
      <c r="AU9" s="48"/>
      <c r="AV9" s="48"/>
      <c r="AW9" s="48"/>
      <c r="AX9" s="48"/>
      <c r="AY9" s="48"/>
      <c r="AZ9" s="48"/>
      <c r="BA9" s="48"/>
      <c r="BB9" s="48"/>
    </row>
    <row r="10" spans="1:54" s="14" customFormat="1" ht="120" x14ac:dyDescent="0.25">
      <c r="A10" s="47">
        <f t="shared" si="0"/>
        <v>9</v>
      </c>
      <c r="B10" s="48" t="s">
        <v>36</v>
      </c>
      <c r="C10" s="48" t="s">
        <v>57</v>
      </c>
      <c r="D10" s="48" t="s">
        <v>67</v>
      </c>
      <c r="E10" s="49" t="s">
        <v>68</v>
      </c>
      <c r="F10" s="49" t="s">
        <v>70</v>
      </c>
      <c r="G10" s="48" t="s">
        <v>71</v>
      </c>
      <c r="H10" s="50">
        <v>1182650652</v>
      </c>
      <c r="I10" s="50">
        <f>50%*H10</f>
        <v>591325326</v>
      </c>
      <c r="J10" s="48" t="s">
        <v>58</v>
      </c>
      <c r="K10" s="48" t="s">
        <v>98</v>
      </c>
      <c r="L10" s="48" t="s">
        <v>87</v>
      </c>
      <c r="M10" s="48" t="s">
        <v>11</v>
      </c>
      <c r="N10" s="48" t="s">
        <v>31</v>
      </c>
      <c r="O10" s="52" t="s">
        <v>31</v>
      </c>
      <c r="P10" s="53" t="s">
        <v>31</v>
      </c>
      <c r="Q10" s="48" t="s">
        <v>31</v>
      </c>
      <c r="R10" s="48" t="s">
        <v>31</v>
      </c>
      <c r="S10" s="48" t="s">
        <v>75</v>
      </c>
      <c r="T10" s="54">
        <v>45154</v>
      </c>
      <c r="U10" s="54">
        <v>46022</v>
      </c>
      <c r="V10" s="54" t="s">
        <v>128</v>
      </c>
      <c r="W10" s="54">
        <f t="shared" ref="W10" si="4">U10</f>
        <v>46022</v>
      </c>
      <c r="X10" s="54" t="s">
        <v>129</v>
      </c>
      <c r="Y10" s="54" t="s">
        <v>131</v>
      </c>
      <c r="Z10" s="54">
        <v>44197</v>
      </c>
      <c r="AA10" s="54">
        <v>47483</v>
      </c>
      <c r="AB10" s="48" t="s">
        <v>133</v>
      </c>
      <c r="AC10" s="48"/>
      <c r="AD10" s="55"/>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54" s="14" customFormat="1" ht="74.25" customHeight="1" x14ac:dyDescent="0.25">
      <c r="A11" s="47">
        <f t="shared" si="0"/>
        <v>10</v>
      </c>
      <c r="B11" s="48" t="s">
        <v>36</v>
      </c>
      <c r="C11" s="48" t="s">
        <v>57</v>
      </c>
      <c r="D11" s="48" t="s">
        <v>67</v>
      </c>
      <c r="E11" s="49" t="s">
        <v>68</v>
      </c>
      <c r="F11" s="49" t="s">
        <v>70</v>
      </c>
      <c r="G11" s="48" t="s">
        <v>71</v>
      </c>
      <c r="H11" s="50">
        <v>10000000</v>
      </c>
      <c r="I11" s="50">
        <v>5000000</v>
      </c>
      <c r="J11" s="48" t="s">
        <v>58</v>
      </c>
      <c r="K11" s="48" t="s">
        <v>98</v>
      </c>
      <c r="L11" s="48" t="s">
        <v>87</v>
      </c>
      <c r="M11" s="48" t="s">
        <v>11</v>
      </c>
      <c r="N11" s="48" t="s">
        <v>31</v>
      </c>
      <c r="O11" s="52" t="s">
        <v>31</v>
      </c>
      <c r="P11" s="53" t="s">
        <v>31</v>
      </c>
      <c r="Q11" s="48" t="s">
        <v>31</v>
      </c>
      <c r="R11" s="48" t="s">
        <v>31</v>
      </c>
      <c r="S11" s="48" t="s">
        <v>75</v>
      </c>
      <c r="T11" s="54">
        <v>45154</v>
      </c>
      <c r="U11" s="54">
        <v>46022</v>
      </c>
      <c r="V11" s="54" t="s">
        <v>128</v>
      </c>
      <c r="W11" s="54">
        <f t="shared" si="2"/>
        <v>46022</v>
      </c>
      <c r="X11" s="54" t="s">
        <v>129</v>
      </c>
      <c r="Y11" s="54" t="s">
        <v>131</v>
      </c>
      <c r="Z11" s="54">
        <v>44197</v>
      </c>
      <c r="AA11" s="54">
        <v>47483</v>
      </c>
      <c r="AB11" s="48" t="s">
        <v>135</v>
      </c>
      <c r="AC11" s="48"/>
      <c r="AD11" s="55"/>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row>
    <row r="12" spans="1:54" s="14" customFormat="1" ht="65.25" customHeight="1" x14ac:dyDescent="0.25">
      <c r="A12" s="47">
        <f t="shared" si="0"/>
        <v>11</v>
      </c>
      <c r="B12" s="48" t="s">
        <v>36</v>
      </c>
      <c r="C12" s="48" t="s">
        <v>57</v>
      </c>
      <c r="D12" s="48" t="s">
        <v>99</v>
      </c>
      <c r="E12" s="49" t="s">
        <v>69</v>
      </c>
      <c r="F12" s="48" t="s">
        <v>70</v>
      </c>
      <c r="G12" s="48" t="s">
        <v>71</v>
      </c>
      <c r="H12" s="50">
        <v>294117648</v>
      </c>
      <c r="I12" s="50">
        <v>250000000</v>
      </c>
      <c r="J12" s="48" t="s">
        <v>30</v>
      </c>
      <c r="K12" s="48" t="s">
        <v>100</v>
      </c>
      <c r="L12" s="48" t="s">
        <v>87</v>
      </c>
      <c r="M12" s="48" t="s">
        <v>11</v>
      </c>
      <c r="N12" s="48" t="s">
        <v>31</v>
      </c>
      <c r="O12" s="52" t="s">
        <v>31</v>
      </c>
      <c r="P12" s="53" t="s">
        <v>31</v>
      </c>
      <c r="Q12" s="48" t="s">
        <v>31</v>
      </c>
      <c r="R12" s="48" t="s">
        <v>31</v>
      </c>
      <c r="S12" s="48" t="s">
        <v>75</v>
      </c>
      <c r="T12" s="54">
        <v>45154</v>
      </c>
      <c r="U12" s="54">
        <v>46022</v>
      </c>
      <c r="V12" s="54" t="s">
        <v>128</v>
      </c>
      <c r="W12" s="54">
        <f t="shared" si="2"/>
        <v>46022</v>
      </c>
      <c r="X12" s="54" t="s">
        <v>129</v>
      </c>
      <c r="Y12" s="54" t="s">
        <v>131</v>
      </c>
      <c r="Z12" s="54">
        <v>44197</v>
      </c>
      <c r="AA12" s="54">
        <v>47483</v>
      </c>
      <c r="AB12" s="48" t="s">
        <v>135</v>
      </c>
      <c r="AC12" s="48"/>
      <c r="AD12" s="55"/>
      <c r="AE12" s="48"/>
      <c r="AF12" s="48"/>
      <c r="AG12" s="48"/>
      <c r="AH12" s="57"/>
      <c r="AI12" s="57"/>
      <c r="AJ12" s="57"/>
      <c r="AK12" s="57"/>
      <c r="AL12" s="57"/>
      <c r="AM12" s="57"/>
      <c r="AN12" s="57"/>
      <c r="AO12" s="57"/>
      <c r="AP12" s="57"/>
      <c r="AQ12" s="57"/>
      <c r="AR12" s="57"/>
      <c r="AS12" s="57"/>
      <c r="AT12" s="57"/>
      <c r="AU12" s="57"/>
      <c r="AV12" s="57"/>
      <c r="AW12" s="57"/>
      <c r="AX12" s="57"/>
      <c r="AY12" s="57"/>
      <c r="AZ12" s="57"/>
      <c r="BA12" s="57"/>
      <c r="BB12" s="57"/>
    </row>
    <row r="13" spans="1:54" s="14" customFormat="1" ht="118.5" customHeight="1" x14ac:dyDescent="0.25">
      <c r="A13" s="47">
        <f t="shared" si="0"/>
        <v>12</v>
      </c>
      <c r="B13" s="48" t="s">
        <v>36</v>
      </c>
      <c r="C13" s="48" t="s">
        <v>57</v>
      </c>
      <c r="D13" s="48" t="s">
        <v>79</v>
      </c>
      <c r="E13" s="48" t="s">
        <v>81</v>
      </c>
      <c r="F13" s="48" t="s">
        <v>82</v>
      </c>
      <c r="G13" s="48" t="s">
        <v>71</v>
      </c>
      <c r="H13" s="50">
        <v>411764706</v>
      </c>
      <c r="I13" s="50">
        <v>350000000</v>
      </c>
      <c r="J13" s="48" t="s">
        <v>30</v>
      </c>
      <c r="K13" s="48" t="s">
        <v>84</v>
      </c>
      <c r="L13" s="48" t="s">
        <v>87</v>
      </c>
      <c r="M13" s="48" t="s">
        <v>11</v>
      </c>
      <c r="N13" s="48" t="s">
        <v>31</v>
      </c>
      <c r="O13" s="52" t="s">
        <v>31</v>
      </c>
      <c r="P13" s="53" t="s">
        <v>31</v>
      </c>
      <c r="Q13" s="48" t="s">
        <v>31</v>
      </c>
      <c r="R13" s="48" t="s">
        <v>31</v>
      </c>
      <c r="S13" s="48" t="s">
        <v>75</v>
      </c>
      <c r="T13" s="54">
        <v>45168</v>
      </c>
      <c r="U13" s="54">
        <v>45657</v>
      </c>
      <c r="V13" s="54" t="s">
        <v>128</v>
      </c>
      <c r="W13" s="54">
        <f t="shared" si="2"/>
        <v>45657</v>
      </c>
      <c r="X13" s="54" t="s">
        <v>129</v>
      </c>
      <c r="Y13" s="54" t="s">
        <v>132</v>
      </c>
      <c r="Z13" s="54">
        <v>44197</v>
      </c>
      <c r="AA13" s="54">
        <v>47483</v>
      </c>
      <c r="AB13" s="48" t="s">
        <v>135</v>
      </c>
      <c r="AC13" s="48"/>
      <c r="AD13" s="55"/>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row>
    <row r="14" spans="1:54" s="14" customFormat="1" ht="113.25" customHeight="1" x14ac:dyDescent="0.25">
      <c r="A14" s="47">
        <f t="shared" si="0"/>
        <v>13</v>
      </c>
      <c r="B14" s="48" t="s">
        <v>36</v>
      </c>
      <c r="C14" s="48" t="s">
        <v>57</v>
      </c>
      <c r="D14" s="48" t="s">
        <v>80</v>
      </c>
      <c r="E14" s="48" t="s">
        <v>81</v>
      </c>
      <c r="F14" s="48" t="s">
        <v>82</v>
      </c>
      <c r="G14" s="48" t="s">
        <v>83</v>
      </c>
      <c r="H14" s="50">
        <v>83529411.790000007</v>
      </c>
      <c r="I14" s="50">
        <v>71000000</v>
      </c>
      <c r="J14" s="48" t="s">
        <v>58</v>
      </c>
      <c r="K14" s="48" t="s">
        <v>85</v>
      </c>
      <c r="L14" s="48" t="s">
        <v>87</v>
      </c>
      <c r="M14" s="48" t="s">
        <v>11</v>
      </c>
      <c r="N14" s="48" t="s">
        <v>31</v>
      </c>
      <c r="O14" s="52" t="s">
        <v>31</v>
      </c>
      <c r="P14" s="53" t="s">
        <v>31</v>
      </c>
      <c r="Q14" s="48" t="s">
        <v>31</v>
      </c>
      <c r="R14" s="48" t="s">
        <v>31</v>
      </c>
      <c r="S14" s="48" t="s">
        <v>75</v>
      </c>
      <c r="T14" s="54">
        <v>45168</v>
      </c>
      <c r="U14" s="54">
        <v>45657</v>
      </c>
      <c r="V14" s="54" t="s">
        <v>128</v>
      </c>
      <c r="W14" s="54">
        <f t="shared" si="2"/>
        <v>45657</v>
      </c>
      <c r="X14" s="54" t="s">
        <v>129</v>
      </c>
      <c r="Y14" s="54" t="s">
        <v>132</v>
      </c>
      <c r="Z14" s="54">
        <v>44197</v>
      </c>
      <c r="AA14" s="54">
        <v>47483</v>
      </c>
      <c r="AB14" s="48" t="s">
        <v>133</v>
      </c>
      <c r="AC14" s="48"/>
      <c r="AD14" s="55"/>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54" s="14" customFormat="1" ht="134.25" customHeight="1" x14ac:dyDescent="0.25">
      <c r="A15" s="47">
        <f t="shared" si="0"/>
        <v>14</v>
      </c>
      <c r="B15" s="48" t="s">
        <v>36</v>
      </c>
      <c r="C15" s="48" t="s">
        <v>57</v>
      </c>
      <c r="D15" s="48" t="s">
        <v>88</v>
      </c>
      <c r="E15" s="48" t="s">
        <v>81</v>
      </c>
      <c r="F15" s="48" t="s">
        <v>82</v>
      </c>
      <c r="G15" s="48" t="s">
        <v>83</v>
      </c>
      <c r="H15" s="64">
        <v>225294117.65000001</v>
      </c>
      <c r="I15" s="64">
        <v>191500000</v>
      </c>
      <c r="J15" s="48" t="s">
        <v>58</v>
      </c>
      <c r="K15" s="48" t="s">
        <v>102</v>
      </c>
      <c r="L15" s="48" t="s">
        <v>87</v>
      </c>
      <c r="M15" s="48" t="s">
        <v>11</v>
      </c>
      <c r="N15" s="48" t="s">
        <v>31</v>
      </c>
      <c r="O15" s="52" t="s">
        <v>31</v>
      </c>
      <c r="P15" s="53" t="s">
        <v>31</v>
      </c>
      <c r="Q15" s="48" t="s">
        <v>31</v>
      </c>
      <c r="R15" s="48" t="s">
        <v>31</v>
      </c>
      <c r="S15" s="48" t="s">
        <v>75</v>
      </c>
      <c r="T15" s="54">
        <v>45154</v>
      </c>
      <c r="U15" s="54">
        <v>46022</v>
      </c>
      <c r="V15" s="54" t="s">
        <v>128</v>
      </c>
      <c r="W15" s="54">
        <f t="shared" si="2"/>
        <v>46022</v>
      </c>
      <c r="X15" s="54" t="s">
        <v>129</v>
      </c>
      <c r="Y15" s="54" t="s">
        <v>131</v>
      </c>
      <c r="Z15" s="54">
        <v>44197</v>
      </c>
      <c r="AA15" s="54">
        <v>47483</v>
      </c>
      <c r="AB15" s="48" t="s">
        <v>135</v>
      </c>
      <c r="AC15" s="48"/>
      <c r="AD15" s="55"/>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54" s="14" customFormat="1" ht="125.25" customHeight="1" x14ac:dyDescent="0.25">
      <c r="A16" s="47">
        <f t="shared" si="0"/>
        <v>15</v>
      </c>
      <c r="B16" s="48" t="s">
        <v>36</v>
      </c>
      <c r="C16" s="48" t="s">
        <v>57</v>
      </c>
      <c r="D16" s="48" t="s">
        <v>101</v>
      </c>
      <c r="E16" s="60" t="s">
        <v>81</v>
      </c>
      <c r="F16" s="60" t="s">
        <v>82</v>
      </c>
      <c r="G16" s="60" t="s">
        <v>83</v>
      </c>
      <c r="H16" s="65">
        <v>10000000</v>
      </c>
      <c r="I16" s="50">
        <v>8500000</v>
      </c>
      <c r="J16" s="48" t="s">
        <v>58</v>
      </c>
      <c r="K16" s="60" t="s">
        <v>89</v>
      </c>
      <c r="L16" s="60" t="s">
        <v>87</v>
      </c>
      <c r="M16" s="60"/>
      <c r="N16" s="60"/>
      <c r="O16" s="61"/>
      <c r="P16" s="62"/>
      <c r="Q16" s="60"/>
      <c r="R16" s="60"/>
      <c r="S16" s="60" t="s">
        <v>75</v>
      </c>
      <c r="T16" s="54">
        <v>45154</v>
      </c>
      <c r="U16" s="54">
        <v>46022</v>
      </c>
      <c r="V16" s="54" t="s">
        <v>128</v>
      </c>
      <c r="W16" s="54">
        <f t="shared" si="2"/>
        <v>46022</v>
      </c>
      <c r="X16" s="54" t="s">
        <v>129</v>
      </c>
      <c r="Y16" s="54" t="s">
        <v>131</v>
      </c>
      <c r="Z16" s="54">
        <v>44197</v>
      </c>
      <c r="AA16" s="54">
        <v>47483</v>
      </c>
      <c r="AB16" s="48" t="s">
        <v>135</v>
      </c>
      <c r="AC16" s="60"/>
      <c r="AD16" s="63"/>
      <c r="AE16" s="60"/>
      <c r="AF16" s="60"/>
      <c r="AG16" s="60"/>
      <c r="AH16" s="60"/>
      <c r="AI16" s="48"/>
      <c r="AJ16" s="48"/>
      <c r="AK16" s="48"/>
      <c r="AL16" s="48"/>
      <c r="AM16" s="48"/>
      <c r="AN16" s="48"/>
      <c r="AO16" s="48"/>
      <c r="AP16" s="48"/>
      <c r="AQ16" s="48"/>
      <c r="AR16" s="48"/>
      <c r="AS16" s="48"/>
      <c r="AT16" s="48"/>
      <c r="AU16" s="48"/>
      <c r="AV16" s="48"/>
      <c r="AW16" s="48"/>
      <c r="AX16" s="48"/>
      <c r="AY16" s="48"/>
      <c r="AZ16" s="48"/>
      <c r="BA16" s="48"/>
      <c r="BB16" s="48"/>
    </row>
    <row r="17" spans="1:54" s="14" customFormat="1" ht="136.5" customHeight="1" x14ac:dyDescent="0.25">
      <c r="A17" s="47">
        <f t="shared" si="0"/>
        <v>16</v>
      </c>
      <c r="B17" s="48" t="s">
        <v>36</v>
      </c>
      <c r="C17" s="48" t="s">
        <v>57</v>
      </c>
      <c r="D17" s="48" t="s">
        <v>103</v>
      </c>
      <c r="E17" s="49" t="s">
        <v>68</v>
      </c>
      <c r="F17" s="49" t="s">
        <v>70</v>
      </c>
      <c r="G17" s="48" t="s">
        <v>71</v>
      </c>
      <c r="H17" s="50">
        <v>370000000</v>
      </c>
      <c r="I17" s="50">
        <v>185000000</v>
      </c>
      <c r="J17" s="48" t="s">
        <v>58</v>
      </c>
      <c r="K17" s="48" t="s">
        <v>112</v>
      </c>
      <c r="L17" s="48" t="s">
        <v>87</v>
      </c>
      <c r="M17" s="48" t="s">
        <v>12</v>
      </c>
      <c r="N17" s="48" t="s">
        <v>106</v>
      </c>
      <c r="O17" s="52">
        <f>I17</f>
        <v>185000000</v>
      </c>
      <c r="P17" s="53" t="s">
        <v>109</v>
      </c>
      <c r="Q17" s="48" t="s">
        <v>107</v>
      </c>
      <c r="R17" s="48" t="s">
        <v>108</v>
      </c>
      <c r="S17" s="48" t="s">
        <v>75</v>
      </c>
      <c r="T17" s="54" t="s">
        <v>127</v>
      </c>
      <c r="U17" s="54">
        <v>46022</v>
      </c>
      <c r="V17" s="54" t="s">
        <v>129</v>
      </c>
      <c r="W17" s="54">
        <f>U17</f>
        <v>46022</v>
      </c>
      <c r="X17" s="54" t="s">
        <v>130</v>
      </c>
      <c r="Y17" s="54" t="s">
        <v>131</v>
      </c>
      <c r="Z17" s="54">
        <v>44197</v>
      </c>
      <c r="AA17" s="54">
        <v>47483</v>
      </c>
      <c r="AB17" s="48" t="s">
        <v>133</v>
      </c>
      <c r="AC17" s="48"/>
      <c r="AD17" s="48"/>
      <c r="AE17" s="48"/>
      <c r="AF17" s="48"/>
      <c r="AG17" s="48"/>
      <c r="AH17" s="57"/>
      <c r="AI17" s="57"/>
      <c r="AJ17" s="57"/>
      <c r="AK17" s="57"/>
      <c r="AL17" s="57"/>
      <c r="AM17" s="57"/>
      <c r="AN17" s="57"/>
      <c r="AO17" s="57"/>
      <c r="AP17" s="57"/>
      <c r="AQ17" s="57"/>
      <c r="AR17" s="57"/>
      <c r="AS17" s="57"/>
      <c r="AT17" s="57"/>
      <c r="AU17" s="57"/>
      <c r="AV17" s="57"/>
      <c r="AW17" s="57"/>
      <c r="AX17" s="57"/>
      <c r="AY17" s="57"/>
      <c r="AZ17" s="57"/>
      <c r="BA17" s="57"/>
      <c r="BB17" s="57"/>
    </row>
    <row r="18" spans="1:54" s="14" customFormat="1" ht="134.25" customHeight="1" x14ac:dyDescent="0.25">
      <c r="A18" s="47">
        <f t="shared" si="0"/>
        <v>17</v>
      </c>
      <c r="B18" s="48" t="s">
        <v>36</v>
      </c>
      <c r="C18" s="48" t="s">
        <v>57</v>
      </c>
      <c r="D18" s="48" t="s">
        <v>104</v>
      </c>
      <c r="E18" s="49" t="s">
        <v>68</v>
      </c>
      <c r="F18" s="49" t="s">
        <v>70</v>
      </c>
      <c r="G18" s="48" t="s">
        <v>71</v>
      </c>
      <c r="H18" s="50">
        <v>90000000</v>
      </c>
      <c r="I18" s="50">
        <v>45000000</v>
      </c>
      <c r="J18" s="48" t="s">
        <v>58</v>
      </c>
      <c r="K18" s="48" t="s">
        <v>112</v>
      </c>
      <c r="L18" s="48" t="s">
        <v>87</v>
      </c>
      <c r="M18" s="48" t="s">
        <v>12</v>
      </c>
      <c r="N18" s="48" t="s">
        <v>106</v>
      </c>
      <c r="O18" s="52">
        <f>I18</f>
        <v>45000000</v>
      </c>
      <c r="P18" s="53" t="s">
        <v>109</v>
      </c>
      <c r="Q18" s="48" t="s">
        <v>107</v>
      </c>
      <c r="R18" s="48" t="s">
        <v>108</v>
      </c>
      <c r="S18" s="48" t="s">
        <v>75</v>
      </c>
      <c r="T18" s="54" t="s">
        <v>127</v>
      </c>
      <c r="U18" s="54">
        <v>46022</v>
      </c>
      <c r="V18" s="54" t="s">
        <v>129</v>
      </c>
      <c r="W18" s="54">
        <f t="shared" si="2"/>
        <v>46022</v>
      </c>
      <c r="X18" s="54" t="s">
        <v>130</v>
      </c>
      <c r="Y18" s="54" t="s">
        <v>131</v>
      </c>
      <c r="Z18" s="54">
        <v>44197</v>
      </c>
      <c r="AA18" s="54">
        <v>47483</v>
      </c>
      <c r="AB18" s="48" t="s">
        <v>111</v>
      </c>
      <c r="AC18" s="48"/>
      <c r="AD18" s="48"/>
      <c r="AE18" s="48"/>
      <c r="AF18" s="48"/>
      <c r="AG18" s="48"/>
      <c r="AH18" s="57"/>
      <c r="AI18" s="59"/>
      <c r="AJ18" s="59"/>
      <c r="AK18" s="59"/>
      <c r="AL18" s="59"/>
      <c r="AM18" s="59"/>
      <c r="AN18" s="59"/>
      <c r="AO18" s="59"/>
      <c r="AP18" s="59"/>
      <c r="AQ18" s="59"/>
      <c r="AR18" s="59"/>
      <c r="AS18" s="59"/>
      <c r="AT18" s="59"/>
      <c r="AU18" s="59"/>
      <c r="AV18" s="59"/>
      <c r="AW18" s="59"/>
      <c r="AX18" s="59"/>
      <c r="AY18" s="59"/>
      <c r="AZ18" s="59"/>
      <c r="BA18" s="59"/>
      <c r="BB18" s="59"/>
    </row>
    <row r="19" spans="1:54" s="14" customFormat="1" ht="90" customHeight="1" x14ac:dyDescent="0.25">
      <c r="A19" s="47">
        <f t="shared" si="0"/>
        <v>18</v>
      </c>
      <c r="B19" s="48" t="s">
        <v>36</v>
      </c>
      <c r="C19" s="48" t="s">
        <v>57</v>
      </c>
      <c r="D19" s="48" t="s">
        <v>105</v>
      </c>
      <c r="E19" s="49" t="s">
        <v>68</v>
      </c>
      <c r="F19" s="49" t="s">
        <v>70</v>
      </c>
      <c r="G19" s="48" t="s">
        <v>71</v>
      </c>
      <c r="H19" s="50">
        <v>30000000</v>
      </c>
      <c r="I19" s="50">
        <v>15000000</v>
      </c>
      <c r="J19" s="48" t="s">
        <v>58</v>
      </c>
      <c r="K19" s="48" t="s">
        <v>112</v>
      </c>
      <c r="L19" s="48" t="s">
        <v>26</v>
      </c>
      <c r="M19" s="48" t="s">
        <v>12</v>
      </c>
      <c r="N19" s="48" t="s">
        <v>106</v>
      </c>
      <c r="O19" s="52">
        <f>I19</f>
        <v>15000000</v>
      </c>
      <c r="P19" s="53" t="s">
        <v>109</v>
      </c>
      <c r="Q19" s="48" t="s">
        <v>107</v>
      </c>
      <c r="R19" s="48" t="s">
        <v>108</v>
      </c>
      <c r="S19" s="48" t="s">
        <v>75</v>
      </c>
      <c r="T19" s="54" t="s">
        <v>127</v>
      </c>
      <c r="U19" s="54">
        <v>46022</v>
      </c>
      <c r="V19" s="54" t="s">
        <v>129</v>
      </c>
      <c r="W19" s="54">
        <f t="shared" si="2"/>
        <v>46022</v>
      </c>
      <c r="X19" s="54" t="s">
        <v>130</v>
      </c>
      <c r="Y19" s="54" t="s">
        <v>131</v>
      </c>
      <c r="Z19" s="54">
        <v>44197</v>
      </c>
      <c r="AA19" s="54">
        <v>47483</v>
      </c>
      <c r="AB19" s="48" t="s">
        <v>111</v>
      </c>
      <c r="AC19" s="48"/>
      <c r="AD19" s="48"/>
      <c r="AE19" s="48"/>
      <c r="AF19" s="48"/>
      <c r="AG19" s="48"/>
      <c r="AH19" s="57"/>
      <c r="AI19" s="59"/>
      <c r="AJ19" s="59"/>
      <c r="AK19" s="59"/>
      <c r="AL19" s="59"/>
      <c r="AM19" s="59"/>
      <c r="AN19" s="59"/>
      <c r="AO19" s="59"/>
      <c r="AP19" s="59"/>
      <c r="AQ19" s="59"/>
      <c r="AR19" s="59"/>
      <c r="AS19" s="59"/>
      <c r="AT19" s="59"/>
      <c r="AU19" s="59"/>
      <c r="AV19" s="59"/>
      <c r="AW19" s="59"/>
      <c r="AX19" s="59"/>
      <c r="AY19" s="59"/>
      <c r="AZ19" s="59"/>
      <c r="BA19" s="59"/>
      <c r="BB19" s="59"/>
    </row>
    <row r="20" spans="1:54" s="14" customFormat="1" ht="131.25" customHeight="1" thickBot="1" x14ac:dyDescent="0.3">
      <c r="A20" s="47">
        <f t="shared" si="0"/>
        <v>19</v>
      </c>
      <c r="B20" s="48" t="s">
        <v>36</v>
      </c>
      <c r="C20" s="48" t="s">
        <v>57</v>
      </c>
      <c r="D20" s="48" t="s">
        <v>114</v>
      </c>
      <c r="E20" s="48"/>
      <c r="F20" s="48"/>
      <c r="G20" s="48" t="s">
        <v>71</v>
      </c>
      <c r="H20" s="50">
        <v>100000000</v>
      </c>
      <c r="I20" s="50">
        <v>75000000</v>
      </c>
      <c r="J20" s="48" t="s">
        <v>58</v>
      </c>
      <c r="K20" s="48" t="s">
        <v>115</v>
      </c>
      <c r="L20" s="48" t="s">
        <v>87</v>
      </c>
      <c r="M20" s="48" t="s">
        <v>11</v>
      </c>
      <c r="N20" s="48" t="s">
        <v>31</v>
      </c>
      <c r="O20" s="52" t="s">
        <v>31</v>
      </c>
      <c r="P20" s="53" t="s">
        <v>31</v>
      </c>
      <c r="Q20" s="48" t="s">
        <v>31</v>
      </c>
      <c r="R20" s="48" t="s">
        <v>31</v>
      </c>
      <c r="S20" s="48" t="s">
        <v>75</v>
      </c>
      <c r="T20" s="54" t="s">
        <v>127</v>
      </c>
      <c r="U20" s="54">
        <v>46022</v>
      </c>
      <c r="V20" s="54" t="s">
        <v>129</v>
      </c>
      <c r="W20" s="54">
        <f t="shared" si="2"/>
        <v>46022</v>
      </c>
      <c r="X20" s="54" t="s">
        <v>130</v>
      </c>
      <c r="Y20" s="54" t="s">
        <v>131</v>
      </c>
      <c r="Z20" s="54">
        <v>44197</v>
      </c>
      <c r="AA20" s="54">
        <v>47483</v>
      </c>
      <c r="AB20" s="48" t="s">
        <v>134</v>
      </c>
      <c r="AC20" s="48"/>
      <c r="AD20" s="48"/>
      <c r="AE20" s="48"/>
      <c r="AF20" s="48"/>
      <c r="AG20" s="48"/>
      <c r="AH20" s="57"/>
      <c r="AI20" s="59"/>
      <c r="AJ20" s="59"/>
      <c r="AK20" s="59"/>
      <c r="AL20" s="59"/>
      <c r="AM20" s="59"/>
      <c r="AN20" s="59"/>
      <c r="AO20" s="59"/>
      <c r="AP20" s="59"/>
      <c r="AQ20" s="59"/>
      <c r="AR20" s="59"/>
      <c r="AS20" s="59"/>
      <c r="AT20" s="59"/>
      <c r="AU20" s="59"/>
      <c r="AV20" s="59"/>
      <c r="AW20" s="59"/>
      <c r="AX20" s="59"/>
      <c r="AY20" s="59"/>
      <c r="AZ20" s="59"/>
      <c r="BA20" s="59"/>
      <c r="BB20" s="59"/>
    </row>
    <row r="21" spans="1:54" s="9" customFormat="1" ht="44.25" customHeight="1" thickBot="1" x14ac:dyDescent="0.3">
      <c r="A21" s="26">
        <f>A20</f>
        <v>19</v>
      </c>
      <c r="B21" s="19" t="s">
        <v>36</v>
      </c>
      <c r="C21" s="19" t="s">
        <v>37</v>
      </c>
      <c r="D21" s="20"/>
      <c r="E21" s="41"/>
      <c r="F21" s="41"/>
      <c r="G21" s="42"/>
      <c r="H21" s="43">
        <f>SUM(H2:H20)</f>
        <v>9626236535.4400005</v>
      </c>
      <c r="I21" s="43">
        <f>SUM(I2:I20)</f>
        <v>4650515326</v>
      </c>
      <c r="J21" s="42"/>
      <c r="K21" s="42"/>
      <c r="L21" s="41"/>
      <c r="M21" s="41"/>
      <c r="N21" s="41"/>
      <c r="O21" s="41"/>
      <c r="P21" s="41"/>
      <c r="Q21" s="41"/>
      <c r="R21" s="41"/>
      <c r="S21" s="41"/>
      <c r="T21" s="42"/>
      <c r="U21" s="41"/>
      <c r="V21" s="23"/>
      <c r="W21" s="23"/>
      <c r="X21" s="23"/>
      <c r="Y21" s="23"/>
      <c r="Z21" s="44"/>
      <c r="AA21" s="44"/>
      <c r="AB21" s="44"/>
      <c r="AC21" s="44" t="s">
        <v>28</v>
      </c>
      <c r="AD21" s="45" t="s">
        <v>28</v>
      </c>
      <c r="AE21" s="46">
        <v>0</v>
      </c>
      <c r="AF21" s="42">
        <v>0</v>
      </c>
      <c r="AG21" s="42">
        <v>0</v>
      </c>
      <c r="AH21" s="42">
        <v>13</v>
      </c>
      <c r="AI21" s="15">
        <v>13</v>
      </c>
      <c r="AJ21" s="15">
        <v>13</v>
      </c>
      <c r="AK21" s="15">
        <v>13</v>
      </c>
      <c r="AL21" s="15">
        <v>13</v>
      </c>
      <c r="AM21" s="15">
        <v>13</v>
      </c>
      <c r="AN21" s="15">
        <v>13</v>
      </c>
      <c r="AO21" s="15">
        <v>13</v>
      </c>
      <c r="AP21" s="15">
        <v>13</v>
      </c>
      <c r="AQ21" s="15">
        <v>15</v>
      </c>
      <c r="AR21" s="15">
        <v>15</v>
      </c>
      <c r="AS21" s="15">
        <v>15</v>
      </c>
      <c r="AT21" s="15">
        <v>15</v>
      </c>
      <c r="AU21" s="15">
        <v>15</v>
      </c>
      <c r="AV21" s="15">
        <v>15</v>
      </c>
      <c r="AW21" s="15">
        <v>15</v>
      </c>
      <c r="AX21" s="15">
        <v>15</v>
      </c>
      <c r="AY21" s="15">
        <v>15</v>
      </c>
      <c r="AZ21" s="15">
        <v>15</v>
      </c>
      <c r="BA21" s="15">
        <v>15</v>
      </c>
      <c r="BB21" s="16">
        <v>15</v>
      </c>
    </row>
    <row r="22" spans="1:54" ht="26.25" customHeight="1" x14ac:dyDescent="0.25"/>
    <row r="23" spans="1:54" ht="57" customHeight="1" x14ac:dyDescent="0.25">
      <c r="B23" s="68" t="s">
        <v>10</v>
      </c>
      <c r="C23" s="68" t="s">
        <v>117</v>
      </c>
      <c r="D23" s="68" t="s">
        <v>118</v>
      </c>
      <c r="E23" s="68" t="s">
        <v>119</v>
      </c>
      <c r="F23" s="68" t="s">
        <v>120</v>
      </c>
      <c r="G23" s="69" t="s">
        <v>121</v>
      </c>
      <c r="H23" s="68" t="s">
        <v>120</v>
      </c>
      <c r="I23" s="68" t="s">
        <v>122</v>
      </c>
      <c r="J23" s="68" t="s">
        <v>123</v>
      </c>
      <c r="K23" s="68" t="s">
        <v>124</v>
      </c>
      <c r="L23" s="68" t="s">
        <v>125</v>
      </c>
      <c r="M23" s="68" t="s">
        <v>120</v>
      </c>
      <c r="N23" s="68" t="s">
        <v>122</v>
      </c>
      <c r="O23" s="70" t="s">
        <v>126</v>
      </c>
      <c r="R23" s="2"/>
    </row>
    <row r="24" spans="1:54" ht="26.25" customHeight="1" x14ac:dyDescent="0.25">
      <c r="B24" s="48" t="s">
        <v>36</v>
      </c>
      <c r="C24" s="5">
        <f>H21</f>
        <v>9626236535.4400005</v>
      </c>
      <c r="D24" s="72">
        <f>I21</f>
        <v>4650515326</v>
      </c>
      <c r="E24" s="71">
        <f>A21</f>
        <v>19</v>
      </c>
      <c r="F24" s="72">
        <f>H21</f>
        <v>9626236535.4400005</v>
      </c>
      <c r="G24" s="1">
        <v>15</v>
      </c>
      <c r="H24" s="5">
        <f>SUM(H2:H16)</f>
        <v>9036236535.4400005</v>
      </c>
      <c r="I24" s="5">
        <f>SUM(I2:I16)</f>
        <v>4330515326</v>
      </c>
      <c r="J24" s="1">
        <v>8</v>
      </c>
      <c r="K24" s="5">
        <f>SUM(I2:I19)</f>
        <v>4575515326</v>
      </c>
      <c r="L24" s="71">
        <v>0</v>
      </c>
      <c r="M24" s="71" t="s">
        <v>31</v>
      </c>
      <c r="N24" s="71" t="s">
        <v>31</v>
      </c>
      <c r="O24" s="72"/>
    </row>
    <row r="25" spans="1:54" ht="26.25" customHeight="1" x14ac:dyDescent="0.25"/>
    <row r="26" spans="1:54" ht="26.25" customHeight="1" x14ac:dyDescent="0.25">
      <c r="I26" s="2"/>
    </row>
    <row r="27" spans="1:54" ht="26.25" customHeight="1" x14ac:dyDescent="0.25"/>
    <row r="28" spans="1:54" ht="26.25" customHeight="1" x14ac:dyDescent="0.25"/>
    <row r="29" spans="1:54" ht="26.25" customHeight="1" x14ac:dyDescent="0.25"/>
    <row r="30" spans="1:54" ht="26.25" customHeight="1" x14ac:dyDescent="0.25"/>
    <row r="31" spans="1:54" ht="26.25" customHeight="1" x14ac:dyDescent="0.25"/>
    <row r="32" spans="1:54"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row r="45" ht="26.25" customHeight="1" x14ac:dyDescent="0.25"/>
    <row r="46" ht="26.25" customHeight="1" x14ac:dyDescent="0.25"/>
    <row r="47" ht="26.25" customHeight="1" x14ac:dyDescent="0.25"/>
    <row r="48"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row r="520" ht="26.25" customHeight="1" x14ac:dyDescent="0.25"/>
    <row r="521" ht="26.25" customHeight="1" x14ac:dyDescent="0.25"/>
    <row r="522" ht="26.25" customHeight="1" x14ac:dyDescent="0.25"/>
    <row r="523" ht="26.25" customHeight="1" x14ac:dyDescent="0.25"/>
    <row r="524" ht="26.25" customHeight="1" x14ac:dyDescent="0.25"/>
    <row r="525" ht="26.25" customHeight="1" x14ac:dyDescent="0.25"/>
    <row r="526" ht="26.25" customHeight="1" x14ac:dyDescent="0.25"/>
    <row r="527" ht="26.25" customHeight="1" x14ac:dyDescent="0.25"/>
    <row r="528" ht="26.25" customHeight="1" x14ac:dyDescent="0.25"/>
    <row r="529" ht="26.25" customHeight="1" x14ac:dyDescent="0.25"/>
    <row r="530" ht="26.25" customHeight="1" x14ac:dyDescent="0.25"/>
    <row r="531" ht="26.25" customHeight="1" x14ac:dyDescent="0.25"/>
    <row r="532" ht="26.25" customHeight="1" x14ac:dyDescent="0.25"/>
    <row r="533" ht="26.25" customHeight="1" x14ac:dyDescent="0.25"/>
    <row r="534" ht="26.25" customHeight="1" x14ac:dyDescent="0.25"/>
    <row r="535" ht="26.25" customHeight="1" x14ac:dyDescent="0.25"/>
    <row r="536" ht="26.25" customHeight="1" x14ac:dyDescent="0.25"/>
    <row r="537" ht="26.25" customHeight="1" x14ac:dyDescent="0.25"/>
    <row r="538" ht="26.25" customHeight="1" x14ac:dyDescent="0.25"/>
    <row r="539" ht="26.25" customHeight="1" x14ac:dyDescent="0.25"/>
    <row r="540" ht="26.25" customHeight="1" x14ac:dyDescent="0.25"/>
    <row r="541" ht="26.25" customHeight="1" x14ac:dyDescent="0.25"/>
    <row r="542" ht="26.25" customHeight="1" x14ac:dyDescent="0.25"/>
    <row r="543" ht="26.25" customHeight="1" x14ac:dyDescent="0.25"/>
    <row r="544" ht="26.25" customHeight="1" x14ac:dyDescent="0.25"/>
    <row r="545" ht="26.25" customHeight="1" x14ac:dyDescent="0.25"/>
    <row r="546" ht="26.25" customHeight="1" x14ac:dyDescent="0.25"/>
    <row r="547" ht="26.25" customHeight="1" x14ac:dyDescent="0.25"/>
    <row r="548" ht="26.25" customHeight="1" x14ac:dyDescent="0.25"/>
    <row r="549" ht="26.25" customHeight="1" x14ac:dyDescent="0.25"/>
    <row r="550" ht="26.25" customHeight="1" x14ac:dyDescent="0.25"/>
    <row r="551" ht="26.25" customHeight="1" x14ac:dyDescent="0.25"/>
    <row r="552" ht="26.25" customHeight="1" x14ac:dyDescent="0.25"/>
    <row r="553" ht="26.25" customHeight="1" x14ac:dyDescent="0.25"/>
    <row r="554" ht="26.25" customHeight="1" x14ac:dyDescent="0.25"/>
    <row r="555" ht="26.25" customHeight="1" x14ac:dyDescent="0.25"/>
    <row r="556" ht="26.25" customHeight="1" x14ac:dyDescent="0.25"/>
    <row r="557" ht="26.25" customHeight="1" x14ac:dyDescent="0.25"/>
    <row r="558" ht="26.25" customHeight="1" x14ac:dyDescent="0.25"/>
    <row r="559" ht="26.25" customHeight="1" x14ac:dyDescent="0.25"/>
    <row r="560" ht="26.25" customHeight="1" x14ac:dyDescent="0.25"/>
    <row r="561" ht="26.25" customHeight="1" x14ac:dyDescent="0.25"/>
    <row r="562" ht="26.25" customHeight="1" x14ac:dyDescent="0.25"/>
    <row r="563" ht="26.25" customHeight="1" x14ac:dyDescent="0.25"/>
    <row r="564" ht="26.25" customHeight="1" x14ac:dyDescent="0.25"/>
    <row r="565" ht="26.25" customHeight="1" x14ac:dyDescent="0.25"/>
    <row r="566" ht="26.25" customHeight="1" x14ac:dyDescent="0.25"/>
    <row r="567" ht="26.25" customHeight="1" x14ac:dyDescent="0.25"/>
    <row r="568" ht="26.25" customHeight="1" x14ac:dyDescent="0.25"/>
    <row r="569" ht="26.25" customHeight="1" x14ac:dyDescent="0.25"/>
    <row r="570" ht="26.25" customHeight="1" x14ac:dyDescent="0.25"/>
    <row r="571" ht="26.25" customHeight="1" x14ac:dyDescent="0.25"/>
    <row r="572" ht="26.25" customHeight="1" x14ac:dyDescent="0.25"/>
    <row r="573" ht="26.25" customHeight="1" x14ac:dyDescent="0.25"/>
    <row r="574" ht="26.25" customHeight="1" x14ac:dyDescent="0.25"/>
    <row r="575" ht="26.25" customHeight="1" x14ac:dyDescent="0.25"/>
    <row r="576" ht="26.25" customHeight="1" x14ac:dyDescent="0.25"/>
    <row r="577" ht="26.25" customHeight="1" x14ac:dyDescent="0.25"/>
    <row r="578" ht="26.25" customHeight="1" x14ac:dyDescent="0.25"/>
    <row r="579" ht="26.25" customHeight="1" x14ac:dyDescent="0.25"/>
    <row r="580" ht="26.25" customHeight="1" x14ac:dyDescent="0.25"/>
    <row r="581" ht="26.25" customHeight="1" x14ac:dyDescent="0.25"/>
    <row r="582" ht="26.25" customHeight="1" x14ac:dyDescent="0.25"/>
  </sheetData>
  <phoneticPr fontId="10" type="noConversion"/>
  <pageMargins left="0.70866141732283472" right="0.70866141732283472" top="0.74803149606299213" bottom="0.74803149606299213" header="0.31496062992125984" footer="0.31496062992125984"/>
  <pageSetup paperSize="8"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K19" sqref="K19"/>
    </sheetView>
  </sheetViews>
  <sheetFormatPr defaultRowHeight="15" x14ac:dyDescent="0.25"/>
  <cols>
    <col min="2" max="3" width="21.42578125" customWidth="1"/>
    <col min="4" max="4" width="23" customWidth="1"/>
    <col min="5" max="5" width="23.140625" bestFit="1" customWidth="1"/>
    <col min="6" max="6" width="27.7109375" customWidth="1"/>
  </cols>
  <sheetData>
    <row r="2" spans="2:6" ht="56.25" x14ac:dyDescent="0.25">
      <c r="B2" s="29" t="s">
        <v>10</v>
      </c>
      <c r="C2" s="29" t="s">
        <v>54</v>
      </c>
      <c r="D2" s="30" t="s">
        <v>53</v>
      </c>
      <c r="E2" s="30" t="s">
        <v>56</v>
      </c>
      <c r="F2" s="30" t="s">
        <v>55</v>
      </c>
    </row>
    <row r="3" spans="2:6" ht="18.75" x14ac:dyDescent="0.25">
      <c r="B3" s="27" t="s">
        <v>38</v>
      </c>
      <c r="C3" s="27">
        <v>40</v>
      </c>
      <c r="D3" s="28">
        <v>17</v>
      </c>
      <c r="E3"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3"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4" spans="2:6" ht="18.75" x14ac:dyDescent="0.25">
      <c r="B4" s="27" t="s">
        <v>39</v>
      </c>
      <c r="C4" s="27">
        <v>57</v>
      </c>
      <c r="D4" s="28">
        <v>53</v>
      </c>
      <c r="E4"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4"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5" spans="2:6" ht="18.75" x14ac:dyDescent="0.25">
      <c r="B5" s="27" t="s">
        <v>29</v>
      </c>
      <c r="C5" s="27">
        <v>25</v>
      </c>
      <c r="D5" s="28">
        <v>24</v>
      </c>
      <c r="E5"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5"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6" spans="2:6" ht="18.75" x14ac:dyDescent="0.25">
      <c r="B6" s="27" t="s">
        <v>40</v>
      </c>
      <c r="C6" s="27">
        <v>29</v>
      </c>
      <c r="D6" s="28">
        <v>26</v>
      </c>
      <c r="E6"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6"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7" spans="2:6" ht="18.75" x14ac:dyDescent="0.25">
      <c r="B7" s="27" t="s">
        <v>41</v>
      </c>
      <c r="C7" s="36"/>
      <c r="D7" s="37"/>
      <c r="E7" s="38"/>
      <c r="F7" s="38"/>
    </row>
    <row r="8" spans="2:6" ht="18.75" x14ac:dyDescent="0.25">
      <c r="B8" s="27" t="s">
        <v>42</v>
      </c>
      <c r="C8" s="27">
        <v>45</v>
      </c>
      <c r="D8" s="28">
        <v>45</v>
      </c>
      <c r="E8" s="35" t="e">
        <f>SUM('Centralizator PC '!#REF!)</f>
        <v>#REF!</v>
      </c>
      <c r="F8" s="35" t="e">
        <f>SUM('Centralizator PC '!#REF!)</f>
        <v>#REF!</v>
      </c>
    </row>
    <row r="9" spans="2:6" ht="18.75" x14ac:dyDescent="0.25">
      <c r="B9" s="27" t="s">
        <v>43</v>
      </c>
      <c r="C9" s="27">
        <v>35</v>
      </c>
      <c r="D9" s="28">
        <v>31</v>
      </c>
      <c r="E9"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9"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10" spans="2:6" ht="18.75" x14ac:dyDescent="0.25">
      <c r="B10" s="27" t="s">
        <v>44</v>
      </c>
      <c r="C10" s="27">
        <v>28</v>
      </c>
      <c r="D10" s="28">
        <v>22</v>
      </c>
      <c r="E10"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10" s="35"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11" spans="2:6" ht="18.75" x14ac:dyDescent="0.25">
      <c r="B11" s="31" t="s">
        <v>32</v>
      </c>
      <c r="C11" s="31">
        <f>SUM(C3:C10)</f>
        <v>259</v>
      </c>
      <c r="D11" s="31">
        <f t="shared" ref="D11:F11" si="0">SUM(D3:D10)</f>
        <v>218</v>
      </c>
      <c r="E11" s="31" t="e">
        <f t="shared" si="0"/>
        <v>#REF!</v>
      </c>
      <c r="F11" s="31" t="e">
        <f t="shared" si="0"/>
        <v>#REF!</v>
      </c>
    </row>
    <row r="12" spans="2:6" ht="18.75" x14ac:dyDescent="0.25">
      <c r="B12" s="27" t="s">
        <v>45</v>
      </c>
      <c r="C12" s="27">
        <v>94</v>
      </c>
      <c r="D12" s="28">
        <v>94</v>
      </c>
      <c r="E12" s="33" t="e">
        <f>'Centralizator PC '!#REF!</f>
        <v>#REF!</v>
      </c>
      <c r="F12" s="33" t="e">
        <f>'Centralizator PC '!#REF!</f>
        <v>#REF!</v>
      </c>
    </row>
    <row r="13" spans="2:6" ht="18.75" x14ac:dyDescent="0.25">
      <c r="B13" s="27" t="s">
        <v>46</v>
      </c>
      <c r="C13" s="27">
        <v>97</v>
      </c>
      <c r="D13" s="28">
        <v>63</v>
      </c>
      <c r="E13" s="33"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13" s="33"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14" spans="2:6" ht="18.75" x14ac:dyDescent="0.25">
      <c r="B14" s="27" t="s">
        <v>51</v>
      </c>
      <c r="C14" s="27">
        <v>20</v>
      </c>
      <c r="D14" s="28">
        <v>20</v>
      </c>
      <c r="E14" s="33" t="e">
        <f>SUM('Centralizator PC '!#REF!)</f>
        <v>#REF!</v>
      </c>
      <c r="F14" s="33" t="e">
        <f>SUM('Centralizator PC '!#REF!)</f>
        <v>#REF!</v>
      </c>
    </row>
    <row r="15" spans="2:6" ht="18.75" x14ac:dyDescent="0.25">
      <c r="B15" s="27" t="s">
        <v>47</v>
      </c>
      <c r="C15" s="27">
        <v>59</v>
      </c>
      <c r="D15" s="28">
        <v>32</v>
      </c>
      <c r="E15" s="33"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c r="F15" s="33" t="e">
        <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'!#REF!+'Centralizator PC '!#REF!</f>
        <v>#REF!</v>
      </c>
    </row>
    <row r="16" spans="2:6" ht="18.75" x14ac:dyDescent="0.25">
      <c r="B16" s="27" t="s">
        <v>48</v>
      </c>
      <c r="C16" s="27">
        <v>28</v>
      </c>
      <c r="D16" s="28">
        <v>12</v>
      </c>
      <c r="E16" s="33" t="e">
        <f>'Centralizator PC '!#REF!+'Centralizator PC '!#REF!+'Centralizator PC '!#REF!+'Centralizator PC '!#REF!+'Centralizator PC '!#REF!+'Centralizator PC '!#REF!+'Centralizator PC '!#REF!+'Centralizator PC '!#REF!+'Centralizator PC '!#REF!+'Centralizator PC '!#REF!+'Centralizator PC '!#REF!+'Centralizator PC '!#REF!</f>
        <v>#REF!</v>
      </c>
      <c r="F16" s="33" t="e">
        <f>'Centralizator PC '!#REF!+'Centralizator PC '!#REF!+'Centralizator PC '!#REF!+'Centralizator PC '!#REF!+'Centralizator PC '!#REF!+'Centralizator PC '!#REF!+'Centralizator PC '!#REF!+'Centralizator PC '!#REF!+'Centralizator PC '!#REF!+'Centralizator PC '!#REF!+'Centralizator PC '!#REF!+'Centralizator PC '!#REF!</f>
        <v>#REF!</v>
      </c>
    </row>
    <row r="17" spans="2:6" ht="18.75" x14ac:dyDescent="0.25">
      <c r="B17" s="27" t="s">
        <v>33</v>
      </c>
      <c r="C17" s="27">
        <v>16</v>
      </c>
      <c r="D17" s="28">
        <v>16</v>
      </c>
      <c r="E17" s="33" t="e">
        <f>SUM('Centralizator PC '!#REF!)</f>
        <v>#REF!</v>
      </c>
      <c r="F17" s="33" t="e">
        <f>SUM('Centralizator PC '!#REF!)</f>
        <v>#REF!</v>
      </c>
    </row>
    <row r="18" spans="2:6" ht="18.75" x14ac:dyDescent="0.25">
      <c r="B18" s="27" t="s">
        <v>49</v>
      </c>
      <c r="C18" s="27">
        <v>15</v>
      </c>
      <c r="D18" s="28">
        <v>15</v>
      </c>
      <c r="E18" s="33">
        <f>SUM('Centralizator PC '!H2:H20)</f>
        <v>9626236535.4400005</v>
      </c>
      <c r="F18" s="33">
        <f>SUM('Centralizator PC '!I2:I20)</f>
        <v>4650515326</v>
      </c>
    </row>
    <row r="19" spans="2:6" ht="18.75" x14ac:dyDescent="0.25">
      <c r="B19" s="27" t="s">
        <v>50</v>
      </c>
      <c r="C19" s="27">
        <v>5</v>
      </c>
      <c r="D19" s="28">
        <v>5</v>
      </c>
      <c r="E19" s="33" t="e">
        <f>SUM('Centralizator PC '!#REF!)</f>
        <v>#REF!</v>
      </c>
      <c r="F19" s="33" t="e">
        <f>SUM('Centralizator PC '!#REF!)</f>
        <v>#REF!</v>
      </c>
    </row>
    <row r="20" spans="2:6" ht="18.75" x14ac:dyDescent="0.25">
      <c r="B20" s="31" t="s">
        <v>52</v>
      </c>
      <c r="C20" s="34">
        <f t="shared" ref="C20:D20" si="1">SUM(C12:C19)</f>
        <v>334</v>
      </c>
      <c r="D20" s="34">
        <f t="shared" si="1"/>
        <v>257</v>
      </c>
      <c r="E20" s="34" t="e">
        <f>SUM(E12:E19)</f>
        <v>#REF!</v>
      </c>
      <c r="F20" s="34" t="e">
        <f>SUM(F12:F19)</f>
        <v>#REF!</v>
      </c>
    </row>
    <row r="21" spans="2:6" ht="18.75" x14ac:dyDescent="0.25">
      <c r="B21" s="32" t="s">
        <v>27</v>
      </c>
      <c r="C21" s="39">
        <f>C11+C20</f>
        <v>593</v>
      </c>
      <c r="D21" s="39">
        <f t="shared" ref="D21:F21" si="2">D11+D20</f>
        <v>475</v>
      </c>
      <c r="E21" s="39" t="e">
        <f t="shared" si="2"/>
        <v>#REF!</v>
      </c>
      <c r="F21" s="39" t="e">
        <f t="shared" si="2"/>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5703125" customWidth="1"/>
    <col min="10" max="21" width="16.28515625" bestFit="1" customWidth="1"/>
    <col min="22" max="22" width="11.28515625" bestFit="1" customWidth="1"/>
  </cols>
  <sheetData>
    <row r="3" spans="1:3" x14ac:dyDescent="0.25">
      <c r="A3" s="17" t="s">
        <v>59</v>
      </c>
      <c r="B3" t="s">
        <v>61</v>
      </c>
      <c r="C3" t="s">
        <v>62</v>
      </c>
    </row>
    <row r="4" spans="1:3" x14ac:dyDescent="0.25">
      <c r="A4" s="18" t="s">
        <v>50</v>
      </c>
      <c r="B4">
        <v>5</v>
      </c>
      <c r="C4">
        <v>5</v>
      </c>
    </row>
    <row r="5" spans="1:3" x14ac:dyDescent="0.25">
      <c r="A5" s="18" t="s">
        <v>51</v>
      </c>
      <c r="B5">
        <v>20</v>
      </c>
      <c r="C5">
        <v>20</v>
      </c>
    </row>
    <row r="6" spans="1:3" x14ac:dyDescent="0.25">
      <c r="A6" s="18" t="s">
        <v>33</v>
      </c>
      <c r="B6">
        <v>16</v>
      </c>
      <c r="C6">
        <v>16</v>
      </c>
    </row>
    <row r="7" spans="1:3" x14ac:dyDescent="0.25">
      <c r="A7" s="18" t="s">
        <v>47</v>
      </c>
      <c r="B7">
        <v>59</v>
      </c>
      <c r="C7">
        <v>32</v>
      </c>
    </row>
    <row r="8" spans="1:3" x14ac:dyDescent="0.25">
      <c r="A8" s="18" t="s">
        <v>48</v>
      </c>
      <c r="B8">
        <v>28</v>
      </c>
      <c r="C8">
        <v>12</v>
      </c>
    </row>
    <row r="9" spans="1:3" x14ac:dyDescent="0.25">
      <c r="A9" s="18" t="s">
        <v>44</v>
      </c>
      <c r="B9">
        <v>28</v>
      </c>
      <c r="C9">
        <v>22</v>
      </c>
    </row>
    <row r="10" spans="1:3" x14ac:dyDescent="0.25">
      <c r="A10" s="18" t="s">
        <v>43</v>
      </c>
      <c r="B10">
        <v>35</v>
      </c>
      <c r="C10">
        <v>31</v>
      </c>
    </row>
    <row r="11" spans="1:3" x14ac:dyDescent="0.25">
      <c r="A11" s="18" t="s">
        <v>38</v>
      </c>
      <c r="B11">
        <v>40</v>
      </c>
      <c r="C11">
        <v>17</v>
      </c>
    </row>
    <row r="12" spans="1:3" x14ac:dyDescent="0.25">
      <c r="A12" s="18" t="s">
        <v>42</v>
      </c>
      <c r="B12">
        <v>45</v>
      </c>
      <c r="C12">
        <v>45</v>
      </c>
    </row>
    <row r="13" spans="1:3" x14ac:dyDescent="0.25">
      <c r="A13" s="18" t="s">
        <v>29</v>
      </c>
      <c r="B13">
        <v>25</v>
      </c>
      <c r="C13">
        <v>24</v>
      </c>
    </row>
    <row r="14" spans="1:3" x14ac:dyDescent="0.25">
      <c r="A14" s="18" t="s">
        <v>39</v>
      </c>
      <c r="B14">
        <v>57</v>
      </c>
      <c r="C14">
        <v>53</v>
      </c>
    </row>
    <row r="15" spans="1:3" x14ac:dyDescent="0.25">
      <c r="A15" s="18" t="s">
        <v>40</v>
      </c>
      <c r="B15">
        <v>29</v>
      </c>
      <c r="C15">
        <v>26</v>
      </c>
    </row>
    <row r="16" spans="1:3" x14ac:dyDescent="0.25">
      <c r="A16" s="18" t="s">
        <v>46</v>
      </c>
      <c r="B16">
        <v>97</v>
      </c>
      <c r="C16">
        <v>63</v>
      </c>
    </row>
    <row r="17" spans="1:8" x14ac:dyDescent="0.25">
      <c r="A17" s="18" t="s">
        <v>49</v>
      </c>
      <c r="B17">
        <v>15</v>
      </c>
      <c r="C17">
        <v>15</v>
      </c>
    </row>
    <row r="18" spans="1:8" x14ac:dyDescent="0.25">
      <c r="A18" s="18" t="s">
        <v>41</v>
      </c>
    </row>
    <row r="19" spans="1:8" x14ac:dyDescent="0.25">
      <c r="A19" s="18" t="s">
        <v>45</v>
      </c>
      <c r="B19">
        <v>94</v>
      </c>
      <c r="C19">
        <v>94</v>
      </c>
    </row>
    <row r="20" spans="1:8" x14ac:dyDescent="0.25">
      <c r="A20" s="18" t="s">
        <v>60</v>
      </c>
      <c r="B20">
        <v>593</v>
      </c>
      <c r="C20">
        <v>475</v>
      </c>
    </row>
    <row r="22" spans="1:8" x14ac:dyDescent="0.25">
      <c r="F22" s="17" t="s">
        <v>59</v>
      </c>
      <c r="G22" t="s">
        <v>65</v>
      </c>
      <c r="H22" t="s">
        <v>66</v>
      </c>
    </row>
    <row r="23" spans="1:8" x14ac:dyDescent="0.25">
      <c r="F23" s="18" t="s">
        <v>50</v>
      </c>
      <c r="G23" s="40">
        <v>959.43086400000004</v>
      </c>
      <c r="H23" s="40">
        <v>457.48787299999998</v>
      </c>
    </row>
    <row r="24" spans="1:8" x14ac:dyDescent="0.25">
      <c r="F24" s="18" t="s">
        <v>51</v>
      </c>
      <c r="G24" s="40">
        <v>1953.4533220000001</v>
      </c>
      <c r="H24" s="40">
        <v>1464.0072379999999</v>
      </c>
    </row>
    <row r="25" spans="1:8" x14ac:dyDescent="0.25">
      <c r="F25" s="18" t="s">
        <v>33</v>
      </c>
      <c r="G25" s="40">
        <v>5254.2033190000002</v>
      </c>
      <c r="H25" s="40">
        <v>4044.0736459999998</v>
      </c>
    </row>
    <row r="26" spans="1:8" x14ac:dyDescent="0.25">
      <c r="F26" s="18" t="s">
        <v>47</v>
      </c>
      <c r="G26" s="40">
        <v>1913.53927862975</v>
      </c>
      <c r="H26" s="40">
        <v>1559.902728</v>
      </c>
    </row>
    <row r="27" spans="1:8" x14ac:dyDescent="0.25">
      <c r="F27" s="18" t="s">
        <v>48</v>
      </c>
      <c r="G27" s="40">
        <v>1128.1608819999999</v>
      </c>
      <c r="H27" s="40">
        <v>880.83</v>
      </c>
    </row>
    <row r="28" spans="1:8" x14ac:dyDescent="0.25">
      <c r="F28" s="18" t="s">
        <v>44</v>
      </c>
      <c r="G28" s="40">
        <v>1298.1652005000001</v>
      </c>
      <c r="H28" s="40">
        <v>519.26607960000001</v>
      </c>
    </row>
    <row r="29" spans="1:8" x14ac:dyDescent="0.25">
      <c r="F29" s="18" t="s">
        <v>43</v>
      </c>
      <c r="G29" s="40">
        <v>1245.36919464882</v>
      </c>
      <c r="H29" s="40">
        <v>1033.840453</v>
      </c>
    </row>
    <row r="30" spans="1:8" x14ac:dyDescent="0.25">
      <c r="F30" s="18" t="s">
        <v>38</v>
      </c>
      <c r="G30" s="40">
        <v>958.8</v>
      </c>
      <c r="H30" s="40">
        <v>797.14</v>
      </c>
    </row>
    <row r="31" spans="1:8" x14ac:dyDescent="0.25">
      <c r="F31" s="18" t="s">
        <v>42</v>
      </c>
      <c r="G31" s="40">
        <v>1312.4111618499999</v>
      </c>
      <c r="H31" s="40">
        <v>1092.579518</v>
      </c>
    </row>
    <row r="32" spans="1:8" x14ac:dyDescent="0.25">
      <c r="F32" s="18" t="s">
        <v>29</v>
      </c>
      <c r="G32" s="40">
        <v>1292.5776103399999</v>
      </c>
      <c r="H32" s="40">
        <v>1070.5328149239999</v>
      </c>
    </row>
    <row r="33" spans="6:8" x14ac:dyDescent="0.25">
      <c r="F33" s="18" t="s">
        <v>39</v>
      </c>
      <c r="G33" s="40">
        <v>1273.0753087058799</v>
      </c>
      <c r="H33" s="40">
        <v>1055.4144510000001</v>
      </c>
    </row>
    <row r="34" spans="6:8" x14ac:dyDescent="0.25">
      <c r="F34" s="18" t="s">
        <v>40</v>
      </c>
      <c r="G34" s="40">
        <v>1093.3688629999999</v>
      </c>
      <c r="H34" s="40">
        <v>910.62470499999995</v>
      </c>
    </row>
    <row r="35" spans="6:8" x14ac:dyDescent="0.25">
      <c r="F35" s="18" t="s">
        <v>46</v>
      </c>
      <c r="G35" s="40">
        <v>5470.8015566496697</v>
      </c>
      <c r="H35" s="40">
        <v>1955.51239259</v>
      </c>
    </row>
    <row r="36" spans="6:8" x14ac:dyDescent="0.25">
      <c r="F36" s="18" t="s">
        <v>49</v>
      </c>
      <c r="G36" s="40">
        <v>9626.2365348799995</v>
      </c>
      <c r="H36" s="40">
        <v>4650.5153259999997</v>
      </c>
    </row>
    <row r="37" spans="6:8" x14ac:dyDescent="0.25">
      <c r="F37" s="18" t="s">
        <v>41</v>
      </c>
      <c r="G37" s="40"/>
      <c r="H37" s="40"/>
    </row>
    <row r="38" spans="6:8" x14ac:dyDescent="0.25">
      <c r="F38" s="18" t="s">
        <v>45</v>
      </c>
      <c r="G38" s="40">
        <v>2530.738057</v>
      </c>
      <c r="H38" s="40">
        <v>2139.7155298100001</v>
      </c>
    </row>
    <row r="39" spans="6:8" x14ac:dyDescent="0.25">
      <c r="F39" s="18" t="s">
        <v>60</v>
      </c>
      <c r="G39" s="40">
        <v>37310.331153204119</v>
      </c>
      <c r="H39" s="40">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S11" sqref="S11"/>
    </sheetView>
  </sheetViews>
  <sheetFormatPr defaultRowHeight="15" x14ac:dyDescent="0.25"/>
  <sheetData>
    <row r="1" spans="1:2" x14ac:dyDescent="0.25">
      <c r="A1" t="s">
        <v>10</v>
      </c>
      <c r="B1"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B18" sqref="B18:E20"/>
    </sheetView>
  </sheetViews>
  <sheetFormatPr defaultRowHeight="15" x14ac:dyDescent="0.25"/>
  <cols>
    <col min="1" max="1" width="20.140625" customWidth="1"/>
    <col min="2" max="2" width="19.5703125" customWidth="1"/>
    <col min="3" max="3" width="22.85546875" customWidth="1"/>
    <col min="4" max="4" width="32.7109375" customWidth="1"/>
    <col min="5" max="5" width="32.140625" customWidth="1"/>
  </cols>
  <sheetData>
    <row r="1" spans="1:5" ht="56.25" x14ac:dyDescent="0.25">
      <c r="A1" s="29" t="s">
        <v>10</v>
      </c>
      <c r="B1" s="29" t="s">
        <v>54</v>
      </c>
      <c r="C1" s="30" t="s">
        <v>53</v>
      </c>
      <c r="D1" s="30" t="s">
        <v>64</v>
      </c>
      <c r="E1" s="30" t="s">
        <v>63</v>
      </c>
    </row>
    <row r="2" spans="1:5" ht="18.75" x14ac:dyDescent="0.25">
      <c r="A2" s="27" t="s">
        <v>38</v>
      </c>
      <c r="B2" s="27">
        <v>40</v>
      </c>
      <c r="C2" s="28">
        <v>17</v>
      </c>
      <c r="D2" s="35">
        <f>958800000/1000000</f>
        <v>958.8</v>
      </c>
      <c r="E2" s="35">
        <f>797140000/1000000</f>
        <v>797.14</v>
      </c>
    </row>
    <row r="3" spans="1:5" ht="18.75" x14ac:dyDescent="0.25">
      <c r="A3" s="27" t="s">
        <v>39</v>
      </c>
      <c r="B3" s="27">
        <v>57</v>
      </c>
      <c r="C3" s="28">
        <v>53</v>
      </c>
      <c r="D3" s="35">
        <f>1273075308.70588/1000000</f>
        <v>1273.0753087058799</v>
      </c>
      <c r="E3" s="35">
        <f>1055414451/1000000</f>
        <v>1055.4144510000001</v>
      </c>
    </row>
    <row r="4" spans="1:5" ht="18.75" x14ac:dyDescent="0.25">
      <c r="A4" s="27" t="s">
        <v>29</v>
      </c>
      <c r="B4" s="27">
        <v>25</v>
      </c>
      <c r="C4" s="28">
        <v>24</v>
      </c>
      <c r="D4" s="35">
        <f>1292577610.34/1000000</f>
        <v>1292.5776103399999</v>
      </c>
      <c r="E4" s="35">
        <f>1070532814.924/1000000</f>
        <v>1070.5328149239999</v>
      </c>
    </row>
    <row r="5" spans="1:5" ht="18.75" x14ac:dyDescent="0.25">
      <c r="A5" s="27" t="s">
        <v>40</v>
      </c>
      <c r="B5" s="27">
        <v>29</v>
      </c>
      <c r="C5" s="28">
        <v>26</v>
      </c>
      <c r="D5" s="35">
        <f>1093368863/1000000</f>
        <v>1093.3688629999999</v>
      </c>
      <c r="E5" s="35">
        <f>910624705/1000000</f>
        <v>910.62470499999995</v>
      </c>
    </row>
    <row r="6" spans="1:5" ht="18.75" x14ac:dyDescent="0.25">
      <c r="A6" s="27" t="s">
        <v>41</v>
      </c>
      <c r="B6" s="36"/>
      <c r="C6" s="37"/>
      <c r="D6" s="38"/>
      <c r="E6" s="38"/>
    </row>
    <row r="7" spans="1:5" ht="18.75" x14ac:dyDescent="0.25">
      <c r="A7" s="27" t="s">
        <v>42</v>
      </c>
      <c r="B7" s="27">
        <v>45</v>
      </c>
      <c r="C7" s="28">
        <v>45</v>
      </c>
      <c r="D7" s="35">
        <f>1312411161.85/1000000</f>
        <v>1312.4111618499999</v>
      </c>
      <c r="E7" s="35">
        <f>1092579518/1000000</f>
        <v>1092.579518</v>
      </c>
    </row>
    <row r="8" spans="1:5" ht="18.75" x14ac:dyDescent="0.25">
      <c r="A8" s="27" t="s">
        <v>43</v>
      </c>
      <c r="B8" s="27">
        <v>35</v>
      </c>
      <c r="C8" s="28">
        <v>31</v>
      </c>
      <c r="D8" s="35">
        <f>1245369194.64882/1000000</f>
        <v>1245.36919464882</v>
      </c>
      <c r="E8" s="35">
        <f>1033840453/1000000</f>
        <v>1033.840453</v>
      </c>
    </row>
    <row r="9" spans="1:5" ht="18.75" x14ac:dyDescent="0.25">
      <c r="A9" s="27" t="s">
        <v>44</v>
      </c>
      <c r="B9" s="27">
        <v>28</v>
      </c>
      <c r="C9" s="28">
        <v>22</v>
      </c>
      <c r="D9" s="35">
        <f>1298165200.5/1000000</f>
        <v>1298.1652005000001</v>
      </c>
      <c r="E9" s="35">
        <f>519266079.6/1000000</f>
        <v>519.26607960000001</v>
      </c>
    </row>
    <row r="10" spans="1:5" ht="18.75" x14ac:dyDescent="0.25">
      <c r="A10" s="27" t="s">
        <v>45</v>
      </c>
      <c r="B10" s="27">
        <v>94</v>
      </c>
      <c r="C10" s="28">
        <v>94</v>
      </c>
      <c r="D10" s="35">
        <f>2530738057/1000000</f>
        <v>2530.738057</v>
      </c>
      <c r="E10" s="35">
        <f>2139715529.81/1000000</f>
        <v>2139.7155298100001</v>
      </c>
    </row>
    <row r="11" spans="1:5" ht="18.75" x14ac:dyDescent="0.25">
      <c r="A11" s="27" t="s">
        <v>46</v>
      </c>
      <c r="B11" s="27">
        <v>97</v>
      </c>
      <c r="C11" s="28">
        <v>63</v>
      </c>
      <c r="D11" s="35">
        <f>5470801556.64967/1000000</f>
        <v>5470.8015566496697</v>
      </c>
      <c r="E11" s="35">
        <f>1955512392.59/1000000</f>
        <v>1955.51239259</v>
      </c>
    </row>
    <row r="12" spans="1:5" ht="18.75" x14ac:dyDescent="0.25">
      <c r="A12" s="27" t="s">
        <v>51</v>
      </c>
      <c r="B12" s="27">
        <v>20</v>
      </c>
      <c r="C12" s="28">
        <v>20</v>
      </c>
      <c r="D12" s="35">
        <f>1953453322/1000000</f>
        <v>1953.4533220000001</v>
      </c>
      <c r="E12" s="35">
        <f>1464007238/1000000</f>
        <v>1464.0072379999999</v>
      </c>
    </row>
    <row r="13" spans="1:5" ht="18.75" x14ac:dyDescent="0.25">
      <c r="A13" s="27" t="s">
        <v>47</v>
      </c>
      <c r="B13" s="27">
        <v>59</v>
      </c>
      <c r="C13" s="28">
        <v>32</v>
      </c>
      <c r="D13" s="35">
        <f>1913539278.62975/1000000</f>
        <v>1913.53927862975</v>
      </c>
      <c r="E13" s="35">
        <f>1559902728/1000000</f>
        <v>1559.902728</v>
      </c>
    </row>
    <row r="14" spans="1:5" ht="18.75" x14ac:dyDescent="0.25">
      <c r="A14" s="27" t="s">
        <v>48</v>
      </c>
      <c r="B14" s="27">
        <v>28</v>
      </c>
      <c r="C14" s="28">
        <v>12</v>
      </c>
      <c r="D14" s="35">
        <f>1128160882/1000000</f>
        <v>1128.1608819999999</v>
      </c>
      <c r="E14" s="35">
        <f>880830000/1000000</f>
        <v>880.83</v>
      </c>
    </row>
    <row r="15" spans="1:5" ht="18.75" x14ac:dyDescent="0.25">
      <c r="A15" s="27" t="s">
        <v>33</v>
      </c>
      <c r="B15" s="27">
        <v>16</v>
      </c>
      <c r="C15" s="28">
        <v>16</v>
      </c>
      <c r="D15" s="35">
        <f>5254203319/1000000</f>
        <v>5254.2033190000002</v>
      </c>
      <c r="E15" s="35">
        <f>4044073646/1000000</f>
        <v>4044.0736459999998</v>
      </c>
    </row>
    <row r="16" spans="1:5" ht="18.75" x14ac:dyDescent="0.25">
      <c r="A16" s="27" t="s">
        <v>49</v>
      </c>
      <c r="B16" s="27">
        <v>15</v>
      </c>
      <c r="C16" s="28">
        <v>15</v>
      </c>
      <c r="D16" s="35">
        <f>9626236534.88/1000000</f>
        <v>9626.2365348799995</v>
      </c>
      <c r="E16" s="35">
        <f>4650515326/1000000</f>
        <v>4650.5153259999997</v>
      </c>
    </row>
    <row r="17" spans="1:5" ht="18.75" x14ac:dyDescent="0.25">
      <c r="A17" s="27" t="s">
        <v>50</v>
      </c>
      <c r="B17" s="27">
        <v>5</v>
      </c>
      <c r="C17" s="28">
        <v>5</v>
      </c>
      <c r="D17" s="35">
        <f>959430864/1000000</f>
        <v>959.43086400000004</v>
      </c>
      <c r="E17" s="35">
        <f>457487873/1000000</f>
        <v>457.48787299999998</v>
      </c>
    </row>
    <row r="18" spans="1:5" ht="18.75" x14ac:dyDescent="0.25">
      <c r="A18" s="32" t="s">
        <v>27</v>
      </c>
      <c r="B18" s="39">
        <f>SUM(B2:B17)</f>
        <v>593</v>
      </c>
      <c r="C18" s="39">
        <f t="shared" ref="C18:E18" si="0">SUM(C2:C17)</f>
        <v>475</v>
      </c>
      <c r="D18" s="39">
        <f t="shared" si="0"/>
        <v>37310.331153204119</v>
      </c>
      <c r="E18" s="39">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2</vt:i4>
      </vt:variant>
    </vt:vector>
  </HeadingPairs>
  <TitlesOfParts>
    <vt:vector size="7" baseType="lpstr">
      <vt:lpstr>Centralizator PC </vt:lpstr>
      <vt:lpstr>Centralizator 2023</vt:lpstr>
      <vt:lpstr>Sheet1Pivot chart 0</vt:lpstr>
      <vt:lpstr>Foaie1</vt:lpstr>
      <vt:lpstr>Sheet9</vt:lpstr>
      <vt:lpstr>'Centralizator PC '!Imprimare_titluri</vt:lpstr>
      <vt:lpstr>'Centralizator PC '!Zona_de_imprimat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Adrian Olteanu</cp:lastModifiedBy>
  <cp:lastPrinted>2023-02-08T07:35:17Z</cp:lastPrinted>
  <dcterms:created xsi:type="dcterms:W3CDTF">2022-11-16T11:13:12Z</dcterms:created>
  <dcterms:modified xsi:type="dcterms:W3CDTF">2023-08-16T06:20:55Z</dcterms:modified>
</cp:coreProperties>
</file>