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armen.buja\Desktop\CARMEN B\POT-ul\calendar apeluri\"/>
    </mc:Choice>
  </mc:AlternateContent>
  <xr:revisionPtr revIDLastSave="0" documentId="13_ncr:1_{8600A1DD-5C09-44D8-B66F-F5EB0D872FD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peluri PT2024_aprilie2024" sheetId="16" r:id="rId1"/>
    <sheet name="Centralizator 2023" sheetId="5" state="hidden" r:id="rId2"/>
    <sheet name="Sheet1Pivot chart 0" sheetId="11" state="hidden" r:id="rId3"/>
    <sheet name="Sheet9" sheetId="10" state="hidden" r:id="rId4"/>
  </sheets>
  <definedNames>
    <definedName name="_xlnm._FilterDatabase" localSheetId="0" hidden="1">'Apeluri PT2024_aprilie2024'!$B$6:$Y$39</definedName>
    <definedName name="_xlnm.Print_Titles" localSheetId="0">'Apeluri PT2024_aprilie2024'!$6:$6</definedName>
    <definedName name="_xlnm.Print_Area" localSheetId="0">'Apeluri PT2024_aprilie2024'!$A$1:$Z$38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6" l="1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M11" i="16"/>
  <c r="L30" i="16"/>
  <c r="L29" i="16"/>
  <c r="L28" i="16"/>
  <c r="L27" i="16"/>
  <c r="L26" i="16"/>
  <c r="L33" i="16" l="1"/>
  <c r="K33" i="16" l="1"/>
  <c r="B35" i="16" l="1"/>
  <c r="B34" i="16"/>
  <c r="B12" i="16" l="1"/>
  <c r="B13" i="16" s="1"/>
  <c r="B14" i="16" s="1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L35" i="16" l="1"/>
  <c r="B36" i="16"/>
  <c r="K34" i="16"/>
  <c r="K35" i="16"/>
  <c r="L34" i="16" l="1"/>
  <c r="L36" i="16" s="1"/>
  <c r="K36" i="16"/>
  <c r="E17" i="10" l="1"/>
  <c r="E16" i="10"/>
  <c r="E15" i="10"/>
  <c r="E14" i="10"/>
  <c r="E13" i="10"/>
  <c r="E12" i="10"/>
  <c r="E11" i="10"/>
  <c r="E10" i="10"/>
  <c r="E9" i="10"/>
  <c r="E8" i="10"/>
  <c r="E7" i="10"/>
  <c r="E5" i="10"/>
  <c r="E4" i="10"/>
  <c r="E3" i="10"/>
  <c r="E2" i="10"/>
  <c r="D17" i="10"/>
  <c r="D16" i="10"/>
  <c r="D15" i="10"/>
  <c r="D14" i="10"/>
  <c r="D13" i="10"/>
  <c r="D12" i="10"/>
  <c r="D11" i="10"/>
  <c r="D10" i="10"/>
  <c r="D9" i="10"/>
  <c r="D8" i="10"/>
  <c r="D7" i="10"/>
  <c r="D5" i="10"/>
  <c r="D4" i="10"/>
  <c r="D3" i="10"/>
  <c r="D2" i="10"/>
  <c r="C18" i="10"/>
  <c r="B18" i="10"/>
  <c r="E18" i="10" l="1"/>
  <c r="D18" i="10"/>
  <c r="D20" i="5" l="1"/>
  <c r="C20" i="5"/>
  <c r="D11" i="5"/>
  <c r="C11" i="5"/>
  <c r="C21" i="5" l="1"/>
  <c r="D21" i="5"/>
  <c r="E11" i="5"/>
  <c r="F20" i="5" l="1"/>
  <c r="E20" i="5" l="1"/>
  <c r="E21" i="5" s="1"/>
  <c r="F11" i="5" l="1"/>
  <c r="F21" i="5" s="1"/>
</calcChain>
</file>

<file path=xl/sharedStrings.xml><?xml version="1.0" encoding="utf-8"?>
<sst xmlns="http://schemas.openxmlformats.org/spreadsheetml/2006/main" count="408" uniqueCount="140">
  <si>
    <t>Nr. crt.</t>
  </si>
  <si>
    <t>Domeniu</t>
  </si>
  <si>
    <t>Denumire apel de finanțare</t>
  </si>
  <si>
    <t>Obiectivele apelului de finanțare</t>
  </si>
  <si>
    <t>Program</t>
  </si>
  <si>
    <t xml:space="preserve">Infrastructura de transport </t>
  </si>
  <si>
    <t>Obiectivul de politică sau obiectivul specific vizat</t>
  </si>
  <si>
    <t>Data estimată de începere a perioadei de contractare</t>
  </si>
  <si>
    <t>Data estimată de finalizare a perioadei de contractare</t>
  </si>
  <si>
    <t>Tip apel
(competitiv/necompetitiv/
primul venit-primul servit)</t>
  </si>
  <si>
    <t xml:space="preserve">Zona geografică vizată </t>
  </si>
  <si>
    <t xml:space="preserve">Tipul de solicitanți eligibili / Beneficiari eligibili </t>
  </si>
  <si>
    <t>Data estimată de începere evaluare tehnică și financiară</t>
  </si>
  <si>
    <t>Data estimată de finalizare evaluare tehnică și financiară</t>
  </si>
  <si>
    <t>Data estimată de începere a perioadei de implementare a proiectelor</t>
  </si>
  <si>
    <t>Data estimată de finalizare a perioadei de implementare a proiectelor</t>
  </si>
  <si>
    <t>Din care buget UE apel (euro)</t>
  </si>
  <si>
    <t>Sursă de finanțare (tip fond)</t>
  </si>
  <si>
    <t>competitiv</t>
  </si>
  <si>
    <t xml:space="preserve">TOTAL </t>
  </si>
  <si>
    <t>PR S</t>
  </si>
  <si>
    <t>FEDR</t>
  </si>
  <si>
    <t xml:space="preserve">TOTAL PR </t>
  </si>
  <si>
    <t>Construirea/reabilitarea legăturilor rutiere secundare către rețeaua rutieră și nodurile TEN-T</t>
  </si>
  <si>
    <t>522.A. Soluții pentru creșterea siguranței traficului - Investiții în siguranța infrastructurii rutiere</t>
  </si>
  <si>
    <t xml:space="preserve"> Soluții pentru creșterea siguranței traficului (implementarea soluțiilor prevăzute în studiile de trafic, în linie cu Strategia națională pentru siguranța rutieră)</t>
  </si>
  <si>
    <t>522.B. Echipamente pentru creșterea siguranței traficului</t>
  </si>
  <si>
    <t>523. Îmbunătățirea transportului județean de călători</t>
  </si>
  <si>
    <t>Îmbunătățirea transportului județean de călători prin achiziționare de material rulant pentru conectare inter-urbană, contribuind la creșterea calității aerului și reducerea zgomotului</t>
  </si>
  <si>
    <t>PDD</t>
  </si>
  <si>
    <t>PR NE</t>
  </si>
  <si>
    <t>PR SE</t>
  </si>
  <si>
    <t>PR SV</t>
  </si>
  <si>
    <t>PT V</t>
  </si>
  <si>
    <t>PR NV</t>
  </si>
  <si>
    <t>PR C</t>
  </si>
  <si>
    <t>PR BI</t>
  </si>
  <si>
    <t>PTJ</t>
  </si>
  <si>
    <t>PS</t>
  </si>
  <si>
    <t>PEO</t>
  </si>
  <si>
    <t>PIDS</t>
  </si>
  <si>
    <t>PT</t>
  </si>
  <si>
    <t>PAT</t>
  </si>
  <si>
    <t>PCIDIF</t>
  </si>
  <si>
    <t>Total nationale</t>
  </si>
  <si>
    <t>Nr. apeluri  deschise in 2023</t>
  </si>
  <si>
    <t xml:space="preserve">Nr. total apeluri planificate </t>
  </si>
  <si>
    <t xml:space="preserve">Buget UE apeluri 2023 (euro) </t>
  </si>
  <si>
    <t>Buget total Apeluri 2023  (euro)</t>
  </si>
  <si>
    <t>Ministerul Transporturilor și Infrastructurii</t>
  </si>
  <si>
    <t>FC</t>
  </si>
  <si>
    <t>Row Labels</t>
  </si>
  <si>
    <t>Grand Total</t>
  </si>
  <si>
    <t xml:space="preserve">Nr. total apeluri planificate  </t>
  </si>
  <si>
    <t xml:space="preserve">Nr. apeluri  deschise in 2023  </t>
  </si>
  <si>
    <t xml:space="preserve">Buget UE apeluri 2023 (mil. euro) </t>
  </si>
  <si>
    <t>Buget total Apeluri 2023  (mil. euro)</t>
  </si>
  <si>
    <t>Sum of Buget total Apeluri 2023  (mil. euro)</t>
  </si>
  <si>
    <t xml:space="preserve">Sum of Buget UE apeluri 2023 (mil. euro) </t>
  </si>
  <si>
    <t>OP 3, OS 3.2</t>
  </si>
  <si>
    <t>UAT Județ</t>
  </si>
  <si>
    <t xml:space="preserve">Autoritate de Management </t>
  </si>
  <si>
    <t>Programul Regional Nord-Vest</t>
  </si>
  <si>
    <t xml:space="preserve">ADR NORD-VEST - AM PR Nord Vest </t>
  </si>
  <si>
    <t>Programul Transport</t>
  </si>
  <si>
    <t xml:space="preserve">PROGRAME REGIONALE </t>
  </si>
  <si>
    <t xml:space="preserve">PROGRAME NATIONALE </t>
  </si>
  <si>
    <t xml:space="preserve">Asistență tehnică </t>
  </si>
  <si>
    <t>521. Construirea/reabilitarea legăturilor rutiere secundare către rețeaua rutieră și nodurile TEN-T</t>
  </si>
  <si>
    <t>UAT Județ/Parteneriate între UAT Județ și alt UAT sau companie cu capital de stat/Parteneriate între două sau mai multe UAT Județ</t>
  </si>
  <si>
    <t>UAT Județ/UAT Urban/Parteneriate între UAT Județ și Municipiu reședință de Județ sau Municipiu sau Oraș sau Comună sau Instituții publice/Companii cu capital de stat, dacă este cazul.</t>
  </si>
  <si>
    <t>UAT Județ/Parteneriate între UAT Județ și alt UAT</t>
  </si>
  <si>
    <t>Trim 3/2023</t>
  </si>
  <si>
    <t>Trim 1/2024</t>
  </si>
  <si>
    <t>Trim 2/2024</t>
  </si>
  <si>
    <t>Trim 4/2023</t>
  </si>
  <si>
    <t>Trim 3/2024</t>
  </si>
  <si>
    <t>Trim 4/2029</t>
  </si>
  <si>
    <t>Regiunea Nord-Vest</t>
  </si>
  <si>
    <t>Transport</t>
  </si>
  <si>
    <t>NOTA: Elaborat pe baza calendarelor indicative transmise de Autoritățile de Management</t>
  </si>
  <si>
    <t>(P1) Îmbunătățirea conectivității primare rutiere - Proiecte de investiții situate pe rețeaua TEN-T Centrală, precum și pe anumite secțiuni ale rețelei TEN-T Globale - finanțate din FEDR</t>
  </si>
  <si>
    <t xml:space="preserve">RSO3.1. Dezvoltarea unei rețele TEN-T sustenabile, reziliente în fața schimbărilor climatice, inteligente, sigure și intermodale </t>
  </si>
  <si>
    <t>(P1) Proiecte de investiții situate pe rețeaua TEN-T Centrală, precum și pe anumite secțiuni ale rețelei TEN-T Globale - finanțate din FC</t>
  </si>
  <si>
    <t>(P1) Îmbunătățirea conectivității primare rutiere - Proiecte de asistenta tehnica pentru întărirea capacității administrative a CNAIR/CNIR în vederea creșterii capacitații de implementare a proiectelor</t>
  </si>
  <si>
    <t xml:space="preserve">(P2)Îmbunătățirea conectivității secundare rutiere - Proiecte de investiții situate pe rețeaua secundară rutieră a României, pe rețeaua TEN-T Globala  </t>
  </si>
  <si>
    <t>(P2) Îmbunătățirea conectivității secundare rutiere - Îmbunătățirea conectivității secundare rutiere</t>
  </si>
  <si>
    <t xml:space="preserve">RSO3.2. Dezvoltarea și ameliorarea unei mobilități naționale, regionale și locale sustenabile, reziliente la schimbările climatice, inteligente și intermodale, inclusiv îmbunătățirea accesului la TEN-T și a mobilității transfrontaliere </t>
  </si>
  <si>
    <t xml:space="preserve">(P3) Proiecte de investiții pentru creșterea siguranței rutiere, adresate secțiunilor de infrastructură rutieră situate pe rețeaua TEN-T </t>
  </si>
  <si>
    <t>(P3) Proiecte de investiții pentru creșterea siguranței rutiere adresate secțiunilor de infrastructură rutieră situate în afara rețelei TEN-T</t>
  </si>
  <si>
    <t>(P4) Proiecte pentru creșterea eficienței căilor ferate române, pe rețeaua TEN-T Core</t>
  </si>
  <si>
    <t>(P4) Proiecte pentru creșterea eficienței căilor ferate române - sprijin pentru creșterea capacității administrative a beneficiarilor</t>
  </si>
  <si>
    <t>(P5) Creșterea atractivității transportului feroviar de călători</t>
  </si>
  <si>
    <t>(P6) Dezvoltarea mobilității sustenabile în nodurile urbane - Trenuri metropolitane în nodurile urbane</t>
  </si>
  <si>
    <t xml:space="preserve">RSO2.8. Promovarea mobilității urbane multimodale sustenabile, ca parte a tranziției către o economie cu zero emisii de dioxid de carbon </t>
  </si>
  <si>
    <t>(P6) Dezvoltarea mobilității sustenabile în nodurile urbane - Trenul metropolitan în regiunea București-Ilfov</t>
  </si>
  <si>
    <t>(P6) Dezvoltarea mobilității sustenabile în nodurile urbane - infrastructura de metrou</t>
  </si>
  <si>
    <t>(P6) Dezvoltarea mobilității sustenabile în nodurile urbane - dezvoltarea capacității administrative</t>
  </si>
  <si>
    <t>(P8) Asistență tehnică</t>
  </si>
  <si>
    <t>3 – O Europă mai conectată prin dezvoltarea mobilității</t>
  </si>
  <si>
    <t>2 – O Europă mai verde</t>
  </si>
  <si>
    <t>teritoriul României</t>
  </si>
  <si>
    <t>Regiunea București-Ilfov</t>
  </si>
  <si>
    <t>CNAIR;
CNIR;
UAT/ADI doar in parteneriat cu CNAIR/CNIR</t>
  </si>
  <si>
    <t>necompetitiv,  conform principiului ”primul venit, primul servit”, până la epuizarea finanțării disponibile sau până la închierea apelului, oricare dintre cele două date survine prima</t>
  </si>
  <si>
    <t>(1) CNAIR;
(2) UAT, inclusiv asociații ale acestora in parteneriate cu CNAIR/DRDP-uri</t>
  </si>
  <si>
    <t xml:space="preserve">necompetitiv,  conform principiului ”primul venit, primul servit”, până la epuizarea finanțării disponibile sau până la închierea apelului, oricare dintre cele două date survine prima </t>
  </si>
  <si>
    <t>(1) CNAIR/CNIR/DRDP;
(2) Ministerul Afacerilor Interne, prin structurile de specialitate în domeniul siguranței rutiere (ex. Poliția rutieră)</t>
  </si>
  <si>
    <t>„CFR” SA</t>
  </si>
  <si>
    <t>Autoritatea pentru Reforma Feroviara (ARF) Ministerul Transporturilor și Infrastructurii</t>
  </si>
  <si>
    <t>(1) UAT – municipii reședință de județ sau județ cu peste 100.000 de locuitori/noduri urbane în parteneriat cu CFR-S.A.;
ADI constituite între municipii reședință de județ cu peste 100.000 de locuitori/noduri urbane și alte unități administrativ teritoriale în parteneriat cu CFR S.A.</t>
  </si>
  <si>
    <t xml:space="preserve">(1) UAT – mun. București sau ADI al mun. București u parteneriat cu CFR-S.A.
</t>
  </si>
  <si>
    <t xml:space="preserve">METROREX S.A.
</t>
  </si>
  <si>
    <t>(1) METROREX S.A.;
(2) Autoritatea pentru Reformă Feroviară (ARF)</t>
  </si>
  <si>
    <t>Administratorii porturilor maritime si fluviale;
Administratorii de căi navigabile;
Operatori Portuari Privați / Operatori de transport naval /Operatori de terminale logistice;
MTI;
Unități Administrativ Teritoriale;
Parteneriate între beneficiari;</t>
  </si>
  <si>
    <t xml:space="preserve">181 APELURI </t>
  </si>
  <si>
    <t xml:space="preserve">334 APELURI </t>
  </si>
  <si>
    <t>153 APELURI</t>
  </si>
  <si>
    <t>Dată ESTIMATĂ publicare ghid final
(zz/ll/an)</t>
  </si>
  <si>
    <t xml:space="preserve">Dată ESTIMATĂ deschidere apel
(zz/ll/an)  </t>
  </si>
  <si>
    <t>Dată ESTIMATĂ închidere apel</t>
  </si>
  <si>
    <t xml:space="preserve">MT
</t>
  </si>
  <si>
    <t>ONG-uri</t>
  </si>
  <si>
    <t>Administratorii porturilor maritime si fluviale;
Administratorii de căi navigabile;
Operatori Portuari Privați 
Operatori de transport naval /Operatori de terminale logistice;
Ministerul Transporturilor și Infrastructurii, prin direcția de specialitate aferentă sectorului naval;Unități Administrativ Teritoriale, pentru porturile aflate în administrarea acestora;
	Parteneriate între beneficiari;</t>
  </si>
  <si>
    <t xml:space="preserve">(P7) Dezvoltarea infrastructurii de transport în sectorul naval (porturi maritime, căi navigabile interioare și porturi interioare) - proiecte noi de investiții și proiecte de sprijin </t>
  </si>
  <si>
    <t>(P7) Dezvoltarea infrastructurii de transport în sectorul naval (porturi maritime, căi navigabile interioare și porturi interioare) - proiecte fazate din perioada 2014-2020</t>
  </si>
  <si>
    <t>(P7) Dezvoltarea transportului naval și multimodal - Dezvoltarea infrastructurii de transport multimodal</t>
  </si>
  <si>
    <t>(P7) Dezvoltarea transportului naval și multimodal - Realizarea de investiții în suprastructura portuară in vederea reducerii blocadei din zona Mării Negre ca urmare a conflictului armat din Ucraina</t>
  </si>
  <si>
    <t xml:space="preserve">Operatori Portuari Privați 
Operatori de transport naval /Operatori de terminale logistice;
</t>
  </si>
  <si>
    <t>Operatori Portuari Privați 
Operatori de transport naval /Operatori de terminale logistice;
Unități Administrativ Teritoriale;</t>
  </si>
  <si>
    <t>30/06/2025</t>
  </si>
  <si>
    <t>30/06/2024</t>
  </si>
  <si>
    <t>N/A
Instructiune - 26.10.2023</t>
  </si>
  <si>
    <t>Nr. apel</t>
  </si>
  <si>
    <t>(P7) Realizarea de investiții în suprastructura portuară de încărcare/ descărcare și depozitare a mărfurilor în vederea reducerii blocadei din zona porturilor românești ca urmare a blocării căilor navale din Ucraina</t>
  </si>
  <si>
    <t>Operatori portuari privați, care desfășoară activități de descărcare, încărcare, transbordare, primire şi expediere a mărfurilor din navă, la navă, în cadrul Porturilor Constanta, Galați si Giurgiu si în porturile situate de-a lungul Canalului Dunăre – Marea Neagră (inclusiv Poarta Alba – Midia – Năvodari), de-a lungul Canalului Sulina sau în porturile din zonele Midia si Mangalia (parte a Portului Constanta) aflate pe TEN-T și care au operat și operează mărfuri în special de natura celor alimentare, bunuri esențiale.</t>
  </si>
  <si>
    <t>Buget net apel (euro)</t>
  </si>
  <si>
    <t>Calendar estimativ* consolidat lansare apeluri de proiecte în anul 2024
- PROGRAMELE FINANȚATE ÎN CADRUL PROGRAMULUI TRANSPORT 2021-2027 -</t>
  </si>
  <si>
    <t xml:space="preserve">*datele prezentate in acest caledar sunt orientative, întrucat initierea efectiva a unor activitati nu depinde exclusiv de AM PT </t>
  </si>
  <si>
    <t xml:space="preserve">Buget limită de contractare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</si>
</sst>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[$-418]mmmm\-yy;@"/>
    <numFmt numFmtId="166" formatCode="[$-418]d\ mmmm\ yyyy;@"/>
    <numFmt numFmtId="167" formatCode="dd\.mm\.yyyy;@"/>
    <numFmt numFmtId="168" formatCode="dd/mm/yyyy;@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6"/>
      <name val="Trebuchet MS"/>
      <family val="2"/>
    </font>
    <font>
      <sz val="18"/>
      <name val="Trebuchet MS"/>
      <family val="2"/>
    </font>
    <font>
      <sz val="18"/>
      <color theme="1"/>
      <name val="Trebuchet MS"/>
      <family val="2"/>
    </font>
    <font>
      <b/>
      <sz val="18"/>
      <color theme="0"/>
      <name val="Trebuchet MS"/>
      <family val="2"/>
    </font>
    <font>
      <b/>
      <sz val="18"/>
      <name val="Trebuchet MS"/>
      <family val="2"/>
    </font>
    <font>
      <b/>
      <sz val="18"/>
      <color rgb="FF000099"/>
      <name val="Trebuchet MS"/>
      <family val="2"/>
    </font>
    <font>
      <sz val="20"/>
      <color theme="7" tint="0.59999389629810485"/>
      <name val="Trebuchet MS"/>
      <family val="2"/>
    </font>
    <font>
      <b/>
      <sz val="20"/>
      <name val="Trebuchet MS"/>
      <family val="2"/>
    </font>
    <font>
      <b/>
      <sz val="24"/>
      <color rgb="FF000099"/>
      <name val="Trebuchet MS"/>
      <family val="2"/>
    </font>
    <font>
      <b/>
      <sz val="20"/>
      <color rgb="FF000099"/>
      <name val="Trebuchet MS"/>
      <family val="2"/>
    </font>
    <font>
      <sz val="16"/>
      <color rgb="FF000000"/>
      <name val="Trebuchet MS"/>
      <family val="2"/>
    </font>
    <font>
      <i/>
      <sz val="18"/>
      <color theme="1"/>
      <name val="Trebuchet MS"/>
      <family val="2"/>
    </font>
    <font>
      <sz val="16"/>
      <color theme="1"/>
      <name val="Trebuchet MS"/>
      <family val="2"/>
    </font>
    <font>
      <b/>
      <sz val="18"/>
      <color rgb="FFFF0000"/>
      <name val="Trebuchet MS"/>
      <family val="2"/>
    </font>
    <font>
      <b/>
      <i/>
      <sz val="16"/>
      <color rgb="FF000099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43" fontId="2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1" fillId="0" borderId="0"/>
  </cellStyleXfs>
  <cellXfs count="9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top"/>
    </xf>
    <xf numFmtId="4" fontId="6" fillId="2" borderId="1" xfId="0" applyNumberFormat="1" applyFont="1" applyFill="1" applyBorder="1" applyAlignment="1">
      <alignment horizontal="center" vertical="top"/>
    </xf>
    <xf numFmtId="3" fontId="5" fillId="0" borderId="1" xfId="0" applyNumberFormat="1" applyFont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3" fontId="5" fillId="3" borderId="1" xfId="0" applyNumberFormat="1" applyFont="1" applyFill="1" applyBorder="1" applyAlignment="1">
      <alignment horizontal="center" vertical="top"/>
    </xf>
    <xf numFmtId="4" fontId="6" fillId="4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3" fontId="11" fillId="4" borderId="1" xfId="0" applyNumberFormat="1" applyFont="1" applyFill="1" applyBorder="1" applyAlignment="1">
      <alignment horizontal="right" vertical="center" wrapText="1"/>
    </xf>
    <xf numFmtId="0" fontId="11" fillId="5" borderId="0" xfId="0" applyFont="1" applyFill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3" fontId="11" fillId="6" borderId="1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top" wrapText="1"/>
    </xf>
    <xf numFmtId="165" fontId="8" fillId="4" borderId="1" xfId="0" applyNumberFormat="1" applyFont="1" applyFill="1" applyBorder="1" applyAlignment="1">
      <alignment horizontal="center" vertical="center" wrapText="1"/>
    </xf>
    <xf numFmtId="165" fontId="8" fillId="4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14" fontId="9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left" vertical="top"/>
    </xf>
    <xf numFmtId="167" fontId="17" fillId="0" borderId="1" xfId="0" applyNumberFormat="1" applyFont="1" applyBorder="1" applyAlignment="1" applyProtection="1">
      <alignment horizontal="center" vertical="center" wrapText="1"/>
      <protection locked="0"/>
    </xf>
    <xf numFmtId="167" fontId="7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165" fontId="8" fillId="4" borderId="2" xfId="0" applyNumberFormat="1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top" wrapText="1"/>
    </xf>
    <xf numFmtId="0" fontId="12" fillId="6" borderId="9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/>
    </xf>
    <xf numFmtId="3" fontId="11" fillId="6" borderId="3" xfId="0" applyNumberFormat="1" applyFont="1" applyFill="1" applyBorder="1" applyAlignment="1">
      <alignment horizontal="right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top" wrapText="1"/>
    </xf>
    <xf numFmtId="0" fontId="20" fillId="0" borderId="0" xfId="0" applyFont="1" applyAlignment="1">
      <alignment horizontal="center" vertical="center" wrapText="1"/>
    </xf>
    <xf numFmtId="3" fontId="20" fillId="0" borderId="0" xfId="0" applyNumberFormat="1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top" wrapText="1"/>
    </xf>
    <xf numFmtId="3" fontId="9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/>
    </xf>
    <xf numFmtId="166" fontId="7" fillId="0" borderId="2" xfId="0" applyNumberFormat="1" applyFont="1" applyBorder="1" applyAlignment="1">
      <alignment horizontal="center" vertical="center"/>
    </xf>
    <xf numFmtId="166" fontId="19" fillId="0" borderId="1" xfId="0" applyNumberFormat="1" applyFont="1" applyBorder="1" applyAlignment="1">
      <alignment horizontal="center" vertical="center"/>
    </xf>
    <xf numFmtId="168" fontId="7" fillId="0" borderId="1" xfId="0" applyNumberFormat="1" applyFont="1" applyBorder="1" applyAlignment="1">
      <alignment horizontal="center" vertical="center" wrapText="1"/>
    </xf>
    <xf numFmtId="168" fontId="7" fillId="0" borderId="1" xfId="0" applyNumberFormat="1" applyFont="1" applyBorder="1" applyAlignment="1" applyProtection="1">
      <alignment horizontal="center" vertical="center" wrapText="1"/>
      <protection locked="0"/>
    </xf>
    <xf numFmtId="168" fontId="17" fillId="0" borderId="1" xfId="0" applyNumberFormat="1" applyFont="1" applyBorder="1" applyAlignment="1" applyProtection="1">
      <alignment horizontal="center" vertical="center" wrapText="1"/>
      <protection locked="0"/>
    </xf>
    <xf numFmtId="168" fontId="17" fillId="0" borderId="2" xfId="0" applyNumberFormat="1" applyFont="1" applyBorder="1" applyAlignment="1" applyProtection="1">
      <alignment horizontal="center" vertical="center" wrapText="1"/>
      <protection locked="0"/>
    </xf>
    <xf numFmtId="168" fontId="7" fillId="0" borderId="2" xfId="0" applyNumberFormat="1" applyFont="1" applyBorder="1" applyAlignment="1" applyProtection="1">
      <alignment horizontal="center" vertical="center" wrapText="1"/>
      <protection locked="0"/>
    </xf>
    <xf numFmtId="168" fontId="7" fillId="0" borderId="1" xfId="5" applyNumberFormat="1" applyFont="1" applyBorder="1" applyAlignment="1">
      <alignment horizontal="center" vertical="center" wrapText="1"/>
    </xf>
    <xf numFmtId="168" fontId="7" fillId="0" borderId="2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3" fontId="14" fillId="7" borderId="6" xfId="0" applyNumberFormat="1" applyFont="1" applyFill="1" applyBorder="1" applyAlignment="1">
      <alignment horizontal="right" vertical="center" wrapText="1"/>
    </xf>
    <xf numFmtId="3" fontId="14" fillId="7" borderId="11" xfId="0" applyNumberFormat="1" applyFont="1" applyFill="1" applyBorder="1" applyAlignment="1">
      <alignment horizontal="right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14" fillId="7" borderId="14" xfId="0" applyFont="1" applyFill="1" applyBorder="1" applyAlignment="1">
      <alignment horizontal="center" vertical="center" wrapText="1"/>
    </xf>
    <xf numFmtId="14" fontId="16" fillId="7" borderId="6" xfId="0" applyNumberFormat="1" applyFont="1" applyFill="1" applyBorder="1" applyAlignment="1">
      <alignment horizontal="center" vertical="top" wrapText="1"/>
    </xf>
    <xf numFmtId="14" fontId="16" fillId="7" borderId="11" xfId="0" applyNumberFormat="1" applyFont="1" applyFill="1" applyBorder="1" applyAlignment="1">
      <alignment horizontal="center" vertical="top" wrapText="1"/>
    </xf>
    <xf numFmtId="14" fontId="16" fillId="7" borderId="7" xfId="0" applyNumberFormat="1" applyFont="1" applyFill="1" applyBorder="1" applyAlignment="1">
      <alignment horizontal="center" vertical="top" wrapText="1"/>
    </xf>
    <xf numFmtId="14" fontId="16" fillId="7" borderId="12" xfId="0" applyNumberFormat="1" applyFont="1" applyFill="1" applyBorder="1" applyAlignment="1">
      <alignment horizontal="center" vertical="top" wrapText="1"/>
    </xf>
    <xf numFmtId="3" fontId="14" fillId="7" borderId="13" xfId="0" applyNumberFormat="1" applyFont="1" applyFill="1" applyBorder="1" applyAlignment="1">
      <alignment horizontal="center" vertical="center" wrapText="1"/>
    </xf>
    <xf numFmtId="3" fontId="14" fillId="7" borderId="14" xfId="0" applyNumberFormat="1" applyFont="1" applyFill="1" applyBorder="1" applyAlignment="1">
      <alignment horizontal="center" vertical="center" wrapText="1"/>
    </xf>
  </cellXfs>
  <cellStyles count="9">
    <cellStyle name="Comma 2" xfId="2" xr:uid="{00000000-0005-0000-0000-000001000000}"/>
    <cellStyle name="Comma 3" xfId="4" xr:uid="{00000000-0005-0000-0000-000002000000}"/>
    <cellStyle name="Normal" xfId="0" builtinId="0"/>
    <cellStyle name="Normal 2" xfId="1" xr:uid="{00000000-0005-0000-0000-000004000000}"/>
    <cellStyle name="Normal 2 2 2" xfId="6" xr:uid="{00000000-0005-0000-0000-000005000000}"/>
    <cellStyle name="Normal 2 3 3 2" xfId="7" xr:uid="{00000000-0005-0000-0000-000006000000}"/>
    <cellStyle name="Normal 2 3 5 2 3 2 2" xfId="5" xr:uid="{00000000-0005-0000-0000-000007000000}"/>
    <cellStyle name="Normal 26 2" xfId="3" xr:uid="{00000000-0005-0000-0000-000008000000}"/>
    <cellStyle name="Normal 26 2 2" xfId="8" xr:uid="{00000000-0005-0000-0000-000009000000}"/>
  </cellStyles>
  <dxfs count="1">
    <dxf>
      <numFmt numFmtId="1" formatCode="0"/>
    </dxf>
  </dxfs>
  <tableStyles count="0" defaultTableStyle="TableStyleMedium2" defaultPivotStyle="PivotStyleLight16"/>
  <colors>
    <mruColors>
      <color rgb="FF66FFFF"/>
      <color rgb="FF000099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[Calendar apeluri actualizat 08.04.2024.xlsx]Sheet1Pivot chart 0!PivotTable3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R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R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23990940671710434"/>
          <c:y val="0.14249781277340332"/>
          <c:w val="0.62199582937027353"/>
          <c:h val="0.545738188976377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'Sheet1Pivot chart 0'!$B$3</c:f>
              <c:strCache>
                <c:ptCount val="1"/>
                <c:pt idx="0">
                  <c:v>Nr. total apeluri planificate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'Sheet1Pivot chart 0'!$A$4:$A$20</c:f>
              <c:strCache>
                <c:ptCount val="16"/>
                <c:pt idx="0">
                  <c:v>PAT</c:v>
                </c:pt>
                <c:pt idx="1">
                  <c:v>PCIDIF</c:v>
                </c:pt>
                <c:pt idx="2">
                  <c:v>PDD</c:v>
                </c:pt>
                <c:pt idx="3">
                  <c:v>PEO</c:v>
                </c:pt>
                <c:pt idx="4">
                  <c:v>PIDS</c:v>
                </c:pt>
                <c:pt idx="5">
                  <c:v>PR BI</c:v>
                </c:pt>
                <c:pt idx="6">
                  <c:v>PR C</c:v>
                </c:pt>
                <c:pt idx="7">
                  <c:v>PR NE</c:v>
                </c:pt>
                <c:pt idx="8">
                  <c:v>PR NV</c:v>
                </c:pt>
                <c:pt idx="9">
                  <c:v>PR S</c:v>
                </c:pt>
                <c:pt idx="10">
                  <c:v>PR SE</c:v>
                </c:pt>
                <c:pt idx="11">
                  <c:v>PR SV</c:v>
                </c:pt>
                <c:pt idx="12">
                  <c:v>PS</c:v>
                </c:pt>
                <c:pt idx="13">
                  <c:v>PT</c:v>
                </c:pt>
                <c:pt idx="14">
                  <c:v>PT V</c:v>
                </c:pt>
                <c:pt idx="15">
                  <c:v>PTJ</c:v>
                </c:pt>
              </c:strCache>
            </c:strRef>
          </c:cat>
          <c:val>
            <c:numRef>
              <c:f>'Sheet1Pivot chart 0'!$B$4:$B$20</c:f>
              <c:numCache>
                <c:formatCode>General</c:formatCode>
                <c:ptCount val="16"/>
                <c:pt idx="0">
                  <c:v>5</c:v>
                </c:pt>
                <c:pt idx="1">
                  <c:v>20</c:v>
                </c:pt>
                <c:pt idx="2">
                  <c:v>16</c:v>
                </c:pt>
                <c:pt idx="3">
                  <c:v>59</c:v>
                </c:pt>
                <c:pt idx="4">
                  <c:v>28</c:v>
                </c:pt>
                <c:pt idx="5">
                  <c:v>28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25</c:v>
                </c:pt>
                <c:pt idx="10">
                  <c:v>57</c:v>
                </c:pt>
                <c:pt idx="11">
                  <c:v>29</c:v>
                </c:pt>
                <c:pt idx="12">
                  <c:v>97</c:v>
                </c:pt>
                <c:pt idx="13">
                  <c:v>15</c:v>
                </c:pt>
                <c:pt idx="15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86B-411C-98C5-BBCA5F02F3A8}"/>
            </c:ext>
          </c:extLst>
        </c:ser>
        <c:ser>
          <c:idx val="1"/>
          <c:order val="1"/>
          <c:tx>
            <c:strRef>
              <c:f>'Sheet1Pivot chart 0'!$C$3</c:f>
              <c:strCache>
                <c:ptCount val="1"/>
                <c:pt idx="0">
                  <c:v>Nr. apeluri  deschise in 2023 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'Sheet1Pivot chart 0'!$A$4:$A$20</c:f>
              <c:strCache>
                <c:ptCount val="16"/>
                <c:pt idx="0">
                  <c:v>PAT</c:v>
                </c:pt>
                <c:pt idx="1">
                  <c:v>PCIDIF</c:v>
                </c:pt>
                <c:pt idx="2">
                  <c:v>PDD</c:v>
                </c:pt>
                <c:pt idx="3">
                  <c:v>PEO</c:v>
                </c:pt>
                <c:pt idx="4">
                  <c:v>PIDS</c:v>
                </c:pt>
                <c:pt idx="5">
                  <c:v>PR BI</c:v>
                </c:pt>
                <c:pt idx="6">
                  <c:v>PR C</c:v>
                </c:pt>
                <c:pt idx="7">
                  <c:v>PR NE</c:v>
                </c:pt>
                <c:pt idx="8">
                  <c:v>PR NV</c:v>
                </c:pt>
                <c:pt idx="9">
                  <c:v>PR S</c:v>
                </c:pt>
                <c:pt idx="10">
                  <c:v>PR SE</c:v>
                </c:pt>
                <c:pt idx="11">
                  <c:v>PR SV</c:v>
                </c:pt>
                <c:pt idx="12">
                  <c:v>PS</c:v>
                </c:pt>
                <c:pt idx="13">
                  <c:v>PT</c:v>
                </c:pt>
                <c:pt idx="14">
                  <c:v>PT V</c:v>
                </c:pt>
                <c:pt idx="15">
                  <c:v>PTJ</c:v>
                </c:pt>
              </c:strCache>
            </c:strRef>
          </c:cat>
          <c:val>
            <c:numRef>
              <c:f>'Sheet1Pivot chart 0'!$C$4:$C$20</c:f>
              <c:numCache>
                <c:formatCode>General</c:formatCode>
                <c:ptCount val="16"/>
                <c:pt idx="0">
                  <c:v>5</c:v>
                </c:pt>
                <c:pt idx="1">
                  <c:v>20</c:v>
                </c:pt>
                <c:pt idx="2">
                  <c:v>16</c:v>
                </c:pt>
                <c:pt idx="3">
                  <c:v>32</c:v>
                </c:pt>
                <c:pt idx="4">
                  <c:v>12</c:v>
                </c:pt>
                <c:pt idx="5">
                  <c:v>22</c:v>
                </c:pt>
                <c:pt idx="6">
                  <c:v>31</c:v>
                </c:pt>
                <c:pt idx="7">
                  <c:v>17</c:v>
                </c:pt>
                <c:pt idx="8">
                  <c:v>45</c:v>
                </c:pt>
                <c:pt idx="9">
                  <c:v>24</c:v>
                </c:pt>
                <c:pt idx="10">
                  <c:v>53</c:v>
                </c:pt>
                <c:pt idx="11">
                  <c:v>26</c:v>
                </c:pt>
                <c:pt idx="12">
                  <c:v>63</c:v>
                </c:pt>
                <c:pt idx="13">
                  <c:v>15</c:v>
                </c:pt>
                <c:pt idx="15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86B-411C-98C5-BBCA5F02F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6574672"/>
        <c:axId val="2015635488"/>
      </c:barChart>
      <c:catAx>
        <c:axId val="201657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2015635488"/>
        <c:crosses val="autoZero"/>
        <c:auto val="1"/>
        <c:lblAlgn val="ctr"/>
        <c:lblOffset val="100"/>
        <c:noMultiLvlLbl val="0"/>
      </c:catAx>
      <c:valAx>
        <c:axId val="201563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20165746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[Calendar apeluri actualizat 08.04.2024.xlsx]Sheet1Pivot chart 0!PivotTable4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R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o-R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9576516422779491"/>
          <c:y val="6.4675657190958039E-2"/>
          <c:w val="0.66315187501711315"/>
          <c:h val="0.708624940813356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'Sheet1Pivot chart 0'!$G$22</c:f>
              <c:strCache>
                <c:ptCount val="1"/>
                <c:pt idx="0">
                  <c:v>Sum of Buget total Apeluri 2023  (mil. euro)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'Sheet1Pivot chart 0'!$F$23:$F$39</c:f>
              <c:strCache>
                <c:ptCount val="16"/>
                <c:pt idx="0">
                  <c:v>PAT</c:v>
                </c:pt>
                <c:pt idx="1">
                  <c:v>PCIDIF</c:v>
                </c:pt>
                <c:pt idx="2">
                  <c:v>PDD</c:v>
                </c:pt>
                <c:pt idx="3">
                  <c:v>PEO</c:v>
                </c:pt>
                <c:pt idx="4">
                  <c:v>PIDS</c:v>
                </c:pt>
                <c:pt idx="5">
                  <c:v>PR BI</c:v>
                </c:pt>
                <c:pt idx="6">
                  <c:v>PR C</c:v>
                </c:pt>
                <c:pt idx="7">
                  <c:v>PR NE</c:v>
                </c:pt>
                <c:pt idx="8">
                  <c:v>PR NV</c:v>
                </c:pt>
                <c:pt idx="9">
                  <c:v>PR S</c:v>
                </c:pt>
                <c:pt idx="10">
                  <c:v>PR SE</c:v>
                </c:pt>
                <c:pt idx="11">
                  <c:v>PR SV</c:v>
                </c:pt>
                <c:pt idx="12">
                  <c:v>PS</c:v>
                </c:pt>
                <c:pt idx="13">
                  <c:v>PT</c:v>
                </c:pt>
                <c:pt idx="14">
                  <c:v>PT V</c:v>
                </c:pt>
                <c:pt idx="15">
                  <c:v>PTJ</c:v>
                </c:pt>
              </c:strCache>
            </c:strRef>
          </c:cat>
          <c:val>
            <c:numRef>
              <c:f>'Sheet1Pivot chart 0'!$G$23:$G$39</c:f>
              <c:numCache>
                <c:formatCode>0</c:formatCode>
                <c:ptCount val="16"/>
                <c:pt idx="0">
                  <c:v>959.43086400000004</c:v>
                </c:pt>
                <c:pt idx="1">
                  <c:v>1953.4533220000001</c:v>
                </c:pt>
                <c:pt idx="2">
                  <c:v>5254.2033190000002</c:v>
                </c:pt>
                <c:pt idx="3">
                  <c:v>1913.53927862975</c:v>
                </c:pt>
                <c:pt idx="4">
                  <c:v>1128.1608819999999</c:v>
                </c:pt>
                <c:pt idx="5">
                  <c:v>1298.1652005000001</c:v>
                </c:pt>
                <c:pt idx="6">
                  <c:v>1245.36919464882</c:v>
                </c:pt>
                <c:pt idx="7">
                  <c:v>958.8</c:v>
                </c:pt>
                <c:pt idx="8">
                  <c:v>1312.4111618499999</c:v>
                </c:pt>
                <c:pt idx="9">
                  <c:v>1292.5776103399999</c:v>
                </c:pt>
                <c:pt idx="10">
                  <c:v>1273.0753087058799</c:v>
                </c:pt>
                <c:pt idx="11">
                  <c:v>1093.3688629999999</c:v>
                </c:pt>
                <c:pt idx="12">
                  <c:v>5470.8015566496697</c:v>
                </c:pt>
                <c:pt idx="13">
                  <c:v>9626.2365348799995</c:v>
                </c:pt>
                <c:pt idx="15">
                  <c:v>2530.738057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B3-4E0A-9B47-2586A6A47B65}"/>
            </c:ext>
          </c:extLst>
        </c:ser>
        <c:ser>
          <c:idx val="1"/>
          <c:order val="1"/>
          <c:tx>
            <c:strRef>
              <c:f>'Sheet1Pivot chart 0'!$H$22</c:f>
              <c:strCache>
                <c:ptCount val="1"/>
                <c:pt idx="0">
                  <c:v>Sum of Buget UE apeluri 2023 (mil. euro)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'Sheet1Pivot chart 0'!$F$23:$F$39</c:f>
              <c:strCache>
                <c:ptCount val="16"/>
                <c:pt idx="0">
                  <c:v>PAT</c:v>
                </c:pt>
                <c:pt idx="1">
                  <c:v>PCIDIF</c:v>
                </c:pt>
                <c:pt idx="2">
                  <c:v>PDD</c:v>
                </c:pt>
                <c:pt idx="3">
                  <c:v>PEO</c:v>
                </c:pt>
                <c:pt idx="4">
                  <c:v>PIDS</c:v>
                </c:pt>
                <c:pt idx="5">
                  <c:v>PR BI</c:v>
                </c:pt>
                <c:pt idx="6">
                  <c:v>PR C</c:v>
                </c:pt>
                <c:pt idx="7">
                  <c:v>PR NE</c:v>
                </c:pt>
                <c:pt idx="8">
                  <c:v>PR NV</c:v>
                </c:pt>
                <c:pt idx="9">
                  <c:v>PR S</c:v>
                </c:pt>
                <c:pt idx="10">
                  <c:v>PR SE</c:v>
                </c:pt>
                <c:pt idx="11">
                  <c:v>PR SV</c:v>
                </c:pt>
                <c:pt idx="12">
                  <c:v>PS</c:v>
                </c:pt>
                <c:pt idx="13">
                  <c:v>PT</c:v>
                </c:pt>
                <c:pt idx="14">
                  <c:v>PT V</c:v>
                </c:pt>
                <c:pt idx="15">
                  <c:v>PTJ</c:v>
                </c:pt>
              </c:strCache>
            </c:strRef>
          </c:cat>
          <c:val>
            <c:numRef>
              <c:f>'Sheet1Pivot chart 0'!$H$23:$H$39</c:f>
              <c:numCache>
                <c:formatCode>0</c:formatCode>
                <c:ptCount val="16"/>
                <c:pt idx="0">
                  <c:v>457.48787299999998</c:v>
                </c:pt>
                <c:pt idx="1">
                  <c:v>1464.0072379999999</c:v>
                </c:pt>
                <c:pt idx="2">
                  <c:v>4044.0736459999998</c:v>
                </c:pt>
                <c:pt idx="3">
                  <c:v>1559.902728</c:v>
                </c:pt>
                <c:pt idx="4">
                  <c:v>880.83</c:v>
                </c:pt>
                <c:pt idx="5">
                  <c:v>519.26607960000001</c:v>
                </c:pt>
                <c:pt idx="6">
                  <c:v>1033.840453</c:v>
                </c:pt>
                <c:pt idx="7">
                  <c:v>797.14</c:v>
                </c:pt>
                <c:pt idx="8">
                  <c:v>1092.579518</c:v>
                </c:pt>
                <c:pt idx="9">
                  <c:v>1070.5328149239999</c:v>
                </c:pt>
                <c:pt idx="10">
                  <c:v>1055.4144510000001</c:v>
                </c:pt>
                <c:pt idx="11">
                  <c:v>910.62470499999995</c:v>
                </c:pt>
                <c:pt idx="12">
                  <c:v>1955.51239259</c:v>
                </c:pt>
                <c:pt idx="13">
                  <c:v>4650.5153259999997</c:v>
                </c:pt>
                <c:pt idx="15">
                  <c:v>2139.7155298100001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B3-4E0A-9B47-2586A6A47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5384000"/>
        <c:axId val="1823564560"/>
      </c:barChart>
      <c:catAx>
        <c:axId val="201538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1823564560"/>
        <c:crosses val="autoZero"/>
        <c:auto val="1"/>
        <c:lblAlgn val="ctr"/>
        <c:lblOffset val="100"/>
        <c:noMultiLvlLbl val="0"/>
      </c:catAx>
      <c:valAx>
        <c:axId val="1823564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20153840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</c:dTable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550976080090205"/>
          <c:y val="0.42831512430656637"/>
          <c:w val="0.10859488179305514"/>
          <c:h val="0.360147776628144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363682</xdr:colOff>
      <xdr:row>0</xdr:row>
      <xdr:rowOff>0</xdr:rowOff>
    </xdr:from>
    <xdr:to>
      <xdr:col>5</xdr:col>
      <xdr:colOff>935182</xdr:colOff>
      <xdr:row>2</xdr:row>
      <xdr:rowOff>426117</xdr:rowOff>
    </xdr:to>
    <xdr:pic>
      <xdr:nvPicPr>
        <xdr:cNvPr id="3" name="Imagine 2">
          <a:extLst>
            <a:ext uri="{FF2B5EF4-FFF2-40B4-BE49-F238E27FC236}">
              <a16:creationId xmlns:a16="http://schemas.microsoft.com/office/drawing/2014/main" id="{580581D3-2FED-AA3A-046D-4EC3417D9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3682" y="0"/>
          <a:ext cx="7845136" cy="16730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5</xdr:row>
      <xdr:rowOff>0</xdr:rowOff>
    </xdr:from>
    <xdr:to>
      <xdr:col>8</xdr:col>
      <xdr:colOff>504825</xdr:colOff>
      <xdr:row>19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400050</xdr:colOff>
      <xdr:row>19</xdr:row>
      <xdr:rowOff>95249</xdr:rowOff>
    </xdr:from>
    <xdr:to>
      <xdr:col>8</xdr:col>
      <xdr:colOff>504825</xdr:colOff>
      <xdr:row>41</xdr:row>
      <xdr:rowOff>180974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ura Elena Marinas" refreshedDate="44964.815813310182" createdVersion="6" refreshedVersion="6" minRefreshableVersion="3" recordCount="16" xr:uid="{00000000-000A-0000-FFFF-FFFF00000000}">
  <cacheSource type="worksheet">
    <worksheetSource ref="A1:E17" sheet="Sheet9"/>
  </cacheSource>
  <cacheFields count="5">
    <cacheField name="Program" numFmtId="0">
      <sharedItems count="16">
        <s v="PR NE"/>
        <s v="PR SE"/>
        <s v="PR S"/>
        <s v="PR SV"/>
        <s v="PT V"/>
        <s v="PR NV"/>
        <s v="PR C"/>
        <s v="PR BI"/>
        <s v="PTJ"/>
        <s v="PS"/>
        <s v="PCIDIF"/>
        <s v="PEO"/>
        <s v="PIDS"/>
        <s v="PDD"/>
        <s v="PT"/>
        <s v="PAT"/>
      </sharedItems>
    </cacheField>
    <cacheField name="Nr. total apeluri planificate " numFmtId="0">
      <sharedItems containsString="0" containsBlank="1" containsNumber="1" containsInteger="1" minValue="5" maxValue="97"/>
    </cacheField>
    <cacheField name="Nr. apeluri  deschise in 2023" numFmtId="0">
      <sharedItems containsString="0" containsBlank="1" containsNumber="1" containsInteger="1" minValue="5" maxValue="94"/>
    </cacheField>
    <cacheField name="Buget total Apeluri 2023  (mil. euro)" numFmtId="3">
      <sharedItems containsString="0" containsBlank="1" containsNumber="1" minValue="958.8" maxValue="9626.2365348799995"/>
    </cacheField>
    <cacheField name="Buget UE apeluri 2023 (mil. euro) " numFmtId="3">
      <sharedItems containsString="0" containsBlank="1" containsNumber="1" minValue="457.48787299999998" maxValue="4650.5153259999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x v="0"/>
    <n v="40"/>
    <n v="17"/>
    <n v="958.8"/>
    <n v="797.14"/>
  </r>
  <r>
    <x v="1"/>
    <n v="57"/>
    <n v="53"/>
    <n v="1273.0753087058799"/>
    <n v="1055.4144510000001"/>
  </r>
  <r>
    <x v="2"/>
    <n v="25"/>
    <n v="24"/>
    <n v="1292.5776103399999"/>
    <n v="1070.5328149239999"/>
  </r>
  <r>
    <x v="3"/>
    <n v="29"/>
    <n v="26"/>
    <n v="1093.3688629999999"/>
    <n v="910.62470499999995"/>
  </r>
  <r>
    <x v="4"/>
    <m/>
    <m/>
    <m/>
    <m/>
  </r>
  <r>
    <x v="5"/>
    <n v="45"/>
    <n v="45"/>
    <n v="1312.4111618499999"/>
    <n v="1092.579518"/>
  </r>
  <r>
    <x v="6"/>
    <n v="35"/>
    <n v="31"/>
    <n v="1245.36919464882"/>
    <n v="1033.840453"/>
  </r>
  <r>
    <x v="7"/>
    <n v="28"/>
    <n v="22"/>
    <n v="1298.1652005000001"/>
    <n v="519.26607960000001"/>
  </r>
  <r>
    <x v="8"/>
    <n v="94"/>
    <n v="94"/>
    <n v="2530.738057"/>
    <n v="2139.7155298100001"/>
  </r>
  <r>
    <x v="9"/>
    <n v="97"/>
    <n v="63"/>
    <n v="5470.8015566496697"/>
    <n v="1955.51239259"/>
  </r>
  <r>
    <x v="10"/>
    <n v="20"/>
    <n v="20"/>
    <n v="1953.4533220000001"/>
    <n v="1464.0072379999999"/>
  </r>
  <r>
    <x v="11"/>
    <n v="59"/>
    <n v="32"/>
    <n v="1913.53927862975"/>
    <n v="1559.902728"/>
  </r>
  <r>
    <x v="12"/>
    <n v="28"/>
    <n v="12"/>
    <n v="1128.1608819999999"/>
    <n v="880.83"/>
  </r>
  <r>
    <x v="13"/>
    <n v="16"/>
    <n v="16"/>
    <n v="5254.2033190000002"/>
    <n v="4044.0736459999998"/>
  </r>
  <r>
    <x v="14"/>
    <n v="15"/>
    <n v="15"/>
    <n v="9626.2365348799995"/>
    <n v="4650.5153259999997"/>
  </r>
  <r>
    <x v="15"/>
    <n v="5"/>
    <n v="5"/>
    <n v="959.43086400000004"/>
    <n v="457.487872999999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A3:C20" firstHeaderRow="0" firstDataRow="1" firstDataCol="1"/>
  <pivotFields count="5">
    <pivotField axis="axisRow" showAll="0">
      <items count="17">
        <item x="15"/>
        <item x="10"/>
        <item x="13"/>
        <item x="11"/>
        <item x="12"/>
        <item x="7"/>
        <item x="6"/>
        <item x="0"/>
        <item x="5"/>
        <item x="2"/>
        <item x="1"/>
        <item x="3"/>
        <item x="9"/>
        <item x="14"/>
        <item x="4"/>
        <item x="8"/>
        <item t="default"/>
      </items>
    </pivotField>
    <pivotField dataField="1" showAll="0"/>
    <pivotField dataField="1" showAll="0"/>
    <pivotField showAll="0" defaultSubtotal="0"/>
    <pivotField showAll="0" defaultSubtotal="0"/>
  </pivotFields>
  <rowFields count="1">
    <field x="0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1">
    <field x="-2"/>
  </colFields>
  <colItems count="2">
    <i>
      <x/>
    </i>
    <i i="1">
      <x v="1"/>
    </i>
  </colItems>
  <dataFields count="2">
    <dataField name="Nr. total apeluri planificate  " fld="1" baseField="0" baseItem="0"/>
    <dataField name="Nr. apeluri  deschise in 2023  " fld="2" baseField="0" baseItem="0"/>
  </dataFields>
  <chartFormats count="2">
    <chartFormat chart="0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7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PivotTable4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F22:H39" firstHeaderRow="0" firstDataRow="1" firstDataCol="1"/>
  <pivotFields count="5">
    <pivotField axis="axisRow" showAll="0">
      <items count="17">
        <item x="15"/>
        <item x="10"/>
        <item x="13"/>
        <item x="11"/>
        <item x="12"/>
        <item x="7"/>
        <item x="6"/>
        <item x="0"/>
        <item x="5"/>
        <item x="2"/>
        <item x="1"/>
        <item x="3"/>
        <item x="9"/>
        <item x="14"/>
        <item x="4"/>
        <item x="8"/>
        <item t="default"/>
      </items>
    </pivotField>
    <pivotField showAll="0"/>
    <pivotField showAll="0"/>
    <pivotField dataField="1" showAll="0" defaultSubtotal="0"/>
    <pivotField dataField="1" showAll="0" defaultSubtotal="0"/>
  </pivotFields>
  <rowFields count="1">
    <field x="0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Buget total Apeluri 2023  (mil. euro)" fld="3" baseField="0" baseItem="1"/>
    <dataField name="Sum of Buget UE apeluri 2023 (mil. euro) " fld="4" baseField="0" baseItem="1"/>
  </dataFields>
  <formats count="1">
    <format dxfId="0">
      <pivotArea outline="0" collapsedLevelsAreSubtotals="1" fieldPosition="0"/>
    </format>
  </formats>
  <chartFormats count="2"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C98"/>
  <sheetViews>
    <sheetView tabSelected="1" view="pageBreakPreview" topLeftCell="G1" zoomScale="55" zoomScaleNormal="70" zoomScaleSheetLayoutView="55" workbookViewId="0">
      <pane ySplit="10" topLeftCell="A11" activePane="bottomLeft" state="frozen"/>
      <selection activeCell="B1" sqref="B1"/>
      <selection pane="bottomLeft" activeCell="R29" sqref="R29"/>
    </sheetView>
  </sheetViews>
  <sheetFormatPr defaultColWidth="9.140625" defaultRowHeight="50.1" customHeight="1" x14ac:dyDescent="0.25"/>
  <cols>
    <col min="1" max="1" width="12.7109375" style="43" customWidth="1"/>
    <col min="2" max="2" width="10.28515625" style="44" customWidth="1"/>
    <col min="3" max="3" width="24.7109375" style="43" customWidth="1"/>
    <col min="4" max="4" width="35.42578125" style="43" customWidth="1"/>
    <col min="5" max="5" width="26" style="43" customWidth="1"/>
    <col min="6" max="6" width="81.85546875" style="43" customWidth="1"/>
    <col min="7" max="7" width="13.140625" style="43" customWidth="1"/>
    <col min="8" max="8" width="46.28515625" style="18" customWidth="1"/>
    <col min="9" max="9" width="25.42578125" style="18" customWidth="1"/>
    <col min="10" max="10" width="29.42578125" style="18" customWidth="1"/>
    <col min="11" max="11" width="34.42578125" style="66" customWidth="1"/>
    <col min="12" max="13" width="32.42578125" style="66" customWidth="1"/>
    <col min="14" max="14" width="16" style="18" customWidth="1"/>
    <col min="15" max="15" width="73.42578125" style="43" customWidth="1"/>
    <col min="16" max="16" width="28" style="43" customWidth="1"/>
    <col min="17" max="17" width="31.5703125" style="43" customWidth="1"/>
    <col min="18" max="18" width="36.85546875" style="36" customWidth="1"/>
    <col min="19" max="19" width="35.28515625" style="45" customWidth="1"/>
    <col min="20" max="20" width="32.140625" style="45" customWidth="1"/>
    <col min="21" max="21" width="32" style="45" customWidth="1"/>
    <col min="22" max="22" width="36.42578125" style="45" customWidth="1"/>
    <col min="23" max="23" width="35.42578125" style="45" customWidth="1"/>
    <col min="24" max="24" width="35.28515625" style="36" customWidth="1"/>
    <col min="25" max="25" width="37.7109375" style="36" customWidth="1"/>
    <col min="26" max="26" width="9.140625" style="43"/>
    <col min="27" max="27" width="23.5703125" style="43" customWidth="1"/>
    <col min="28" max="28" width="26.7109375" style="43" customWidth="1"/>
    <col min="29" max="29" width="23.28515625" style="43" customWidth="1"/>
    <col min="30" max="16384" width="9.140625" style="43"/>
  </cols>
  <sheetData>
    <row r="1" spans="2:25" s="18" customFormat="1" ht="50.1" customHeight="1" x14ac:dyDescent="0.25">
      <c r="B1" s="17"/>
      <c r="I1" s="19"/>
      <c r="K1" s="66"/>
      <c r="L1" s="66"/>
      <c r="M1" s="66"/>
      <c r="R1" s="34"/>
      <c r="S1" s="35"/>
      <c r="T1" s="35"/>
      <c r="U1" s="35"/>
      <c r="V1" s="35"/>
      <c r="W1" s="35"/>
      <c r="X1" s="34"/>
      <c r="Y1" s="36"/>
    </row>
    <row r="2" spans="2:25" s="18" customFormat="1" ht="50.1" customHeight="1" x14ac:dyDescent="0.25">
      <c r="B2" s="17"/>
      <c r="I2" s="19"/>
      <c r="K2" s="66"/>
      <c r="L2" s="66"/>
      <c r="M2" s="66"/>
      <c r="R2" s="34"/>
      <c r="S2" s="35"/>
      <c r="T2" s="35"/>
      <c r="U2" s="35"/>
      <c r="V2" s="35"/>
      <c r="W2" s="35"/>
      <c r="X2" s="34"/>
      <c r="Y2" s="36"/>
    </row>
    <row r="3" spans="2:25" s="18" customFormat="1" ht="60.75" customHeight="1" x14ac:dyDescent="0.25">
      <c r="B3" s="17"/>
      <c r="D3" s="81" t="s">
        <v>137</v>
      </c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35"/>
      <c r="T3" s="35"/>
      <c r="U3" s="35"/>
      <c r="V3" s="35"/>
      <c r="W3" s="35"/>
      <c r="X3" s="34"/>
      <c r="Y3" s="36"/>
    </row>
    <row r="4" spans="2:25" s="18" customFormat="1" ht="50.1" customHeight="1" thickBot="1" x14ac:dyDescent="0.3">
      <c r="B4" s="17"/>
      <c r="I4" s="19"/>
      <c r="K4" s="66"/>
      <c r="L4" s="66"/>
      <c r="M4" s="66"/>
      <c r="R4" s="34"/>
      <c r="S4" s="35"/>
      <c r="T4" s="35"/>
      <c r="U4" s="35"/>
      <c r="V4" s="35"/>
      <c r="W4" s="35"/>
      <c r="X4" s="34"/>
      <c r="Y4" s="36"/>
    </row>
    <row r="5" spans="2:25" s="18" customFormat="1" ht="69.75" customHeight="1" x14ac:dyDescent="0.25">
      <c r="B5" s="82" t="s">
        <v>0</v>
      </c>
      <c r="C5" s="84" t="s">
        <v>4</v>
      </c>
      <c r="D5" s="84" t="s">
        <v>61</v>
      </c>
      <c r="E5" s="84" t="s">
        <v>1</v>
      </c>
      <c r="F5" s="84" t="s">
        <v>2</v>
      </c>
      <c r="G5" s="88" t="s">
        <v>133</v>
      </c>
      <c r="H5" s="84" t="s">
        <v>3</v>
      </c>
      <c r="I5" s="84" t="s">
        <v>6</v>
      </c>
      <c r="J5" s="84" t="s">
        <v>10</v>
      </c>
      <c r="K5" s="86" t="s">
        <v>136</v>
      </c>
      <c r="L5" s="86" t="s">
        <v>16</v>
      </c>
      <c r="M5" s="94" t="s">
        <v>139</v>
      </c>
      <c r="N5" s="84" t="s">
        <v>17</v>
      </c>
      <c r="O5" s="84" t="s">
        <v>11</v>
      </c>
      <c r="P5" s="84" t="s">
        <v>9</v>
      </c>
      <c r="Q5" s="88" t="s">
        <v>118</v>
      </c>
      <c r="R5" s="84" t="s">
        <v>119</v>
      </c>
      <c r="S5" s="84" t="s">
        <v>120</v>
      </c>
      <c r="T5" s="90" t="s">
        <v>12</v>
      </c>
      <c r="U5" s="90" t="s">
        <v>13</v>
      </c>
      <c r="V5" s="90" t="s">
        <v>7</v>
      </c>
      <c r="W5" s="90" t="s">
        <v>8</v>
      </c>
      <c r="X5" s="90" t="s">
        <v>14</v>
      </c>
      <c r="Y5" s="92" t="s">
        <v>15</v>
      </c>
    </row>
    <row r="6" spans="2:25" s="42" customFormat="1" ht="50.1" customHeight="1" x14ac:dyDescent="0.25">
      <c r="B6" s="83"/>
      <c r="C6" s="85"/>
      <c r="D6" s="85"/>
      <c r="E6" s="85"/>
      <c r="F6" s="85"/>
      <c r="G6" s="89"/>
      <c r="H6" s="85"/>
      <c r="I6" s="85"/>
      <c r="J6" s="85"/>
      <c r="K6" s="87"/>
      <c r="L6" s="87"/>
      <c r="M6" s="95"/>
      <c r="N6" s="85"/>
      <c r="O6" s="85"/>
      <c r="P6" s="85"/>
      <c r="Q6" s="89"/>
      <c r="R6" s="85"/>
      <c r="S6" s="85"/>
      <c r="T6" s="91"/>
      <c r="U6" s="91"/>
      <c r="V6" s="91"/>
      <c r="W6" s="91"/>
      <c r="X6" s="91"/>
      <c r="Y6" s="93"/>
    </row>
    <row r="7" spans="2:25" s="33" customFormat="1" ht="45" hidden="1" customHeight="1" x14ac:dyDescent="0.25">
      <c r="B7" s="51">
        <v>2</v>
      </c>
      <c r="C7" s="30" t="s">
        <v>62</v>
      </c>
      <c r="D7" s="30" t="s">
        <v>63</v>
      </c>
      <c r="E7" s="30" t="s">
        <v>79</v>
      </c>
      <c r="F7" s="30" t="s">
        <v>68</v>
      </c>
      <c r="G7" s="30"/>
      <c r="H7" s="30" t="s">
        <v>23</v>
      </c>
      <c r="I7" s="31" t="s">
        <v>59</v>
      </c>
      <c r="J7" s="30" t="s">
        <v>78</v>
      </c>
      <c r="K7" s="32">
        <v>105147059</v>
      </c>
      <c r="L7" s="32">
        <v>89375000</v>
      </c>
      <c r="M7" s="32"/>
      <c r="N7" s="30" t="s">
        <v>21</v>
      </c>
      <c r="O7" s="30" t="s">
        <v>69</v>
      </c>
      <c r="P7" s="31" t="s">
        <v>18</v>
      </c>
      <c r="Q7" s="31"/>
      <c r="R7" s="48">
        <v>45139</v>
      </c>
      <c r="S7" s="68" t="s">
        <v>73</v>
      </c>
      <c r="T7" s="69" t="s">
        <v>72</v>
      </c>
      <c r="U7" s="69" t="s">
        <v>74</v>
      </c>
      <c r="V7" s="69" t="s">
        <v>75</v>
      </c>
      <c r="W7" s="69" t="s">
        <v>76</v>
      </c>
      <c r="X7" s="69" t="s">
        <v>76</v>
      </c>
      <c r="Y7" s="70" t="s">
        <v>77</v>
      </c>
    </row>
    <row r="8" spans="2:25" s="33" customFormat="1" ht="45" hidden="1" customHeight="1" x14ac:dyDescent="0.25">
      <c r="B8" s="51">
        <v>7</v>
      </c>
      <c r="C8" s="30" t="s">
        <v>62</v>
      </c>
      <c r="D8" s="30" t="s">
        <v>63</v>
      </c>
      <c r="E8" s="30" t="s">
        <v>79</v>
      </c>
      <c r="F8" s="30" t="s">
        <v>24</v>
      </c>
      <c r="G8" s="30"/>
      <c r="H8" s="30" t="s">
        <v>25</v>
      </c>
      <c r="I8" s="31" t="s">
        <v>59</v>
      </c>
      <c r="J8" s="30" t="s">
        <v>78</v>
      </c>
      <c r="K8" s="32">
        <v>49831649</v>
      </c>
      <c r="L8" s="32">
        <v>42356901</v>
      </c>
      <c r="M8" s="32"/>
      <c r="N8" s="30" t="s">
        <v>21</v>
      </c>
      <c r="O8" s="30" t="s">
        <v>70</v>
      </c>
      <c r="P8" s="31" t="s">
        <v>18</v>
      </c>
      <c r="Q8" s="31"/>
      <c r="R8" s="47">
        <v>45155</v>
      </c>
      <c r="S8" s="68" t="s">
        <v>73</v>
      </c>
      <c r="T8" s="69" t="s">
        <v>72</v>
      </c>
      <c r="U8" s="69" t="s">
        <v>74</v>
      </c>
      <c r="V8" s="69" t="s">
        <v>75</v>
      </c>
      <c r="W8" s="69" t="s">
        <v>76</v>
      </c>
      <c r="X8" s="69" t="s">
        <v>76</v>
      </c>
      <c r="Y8" s="70" t="s">
        <v>77</v>
      </c>
    </row>
    <row r="9" spans="2:25" s="33" customFormat="1" ht="45" hidden="1" customHeight="1" x14ac:dyDescent="0.25">
      <c r="B9" s="51">
        <v>19</v>
      </c>
      <c r="C9" s="30" t="s">
        <v>62</v>
      </c>
      <c r="D9" s="30" t="s">
        <v>63</v>
      </c>
      <c r="E9" s="30" t="s">
        <v>79</v>
      </c>
      <c r="F9" s="30" t="s">
        <v>26</v>
      </c>
      <c r="G9" s="30"/>
      <c r="H9" s="30" t="s">
        <v>25</v>
      </c>
      <c r="I9" s="31" t="s">
        <v>59</v>
      </c>
      <c r="J9" s="30" t="s">
        <v>78</v>
      </c>
      <c r="K9" s="32">
        <v>15000000</v>
      </c>
      <c r="L9" s="32">
        <v>12750000</v>
      </c>
      <c r="M9" s="32"/>
      <c r="N9" s="30" t="s">
        <v>21</v>
      </c>
      <c r="O9" s="30" t="s">
        <v>71</v>
      </c>
      <c r="P9" s="31" t="s">
        <v>18</v>
      </c>
      <c r="Q9" s="31"/>
      <c r="R9" s="47">
        <v>45169</v>
      </c>
      <c r="S9" s="68" t="s">
        <v>73</v>
      </c>
      <c r="T9" s="69" t="s">
        <v>72</v>
      </c>
      <c r="U9" s="69" t="s">
        <v>74</v>
      </c>
      <c r="V9" s="69" t="s">
        <v>75</v>
      </c>
      <c r="W9" s="71" t="s">
        <v>76</v>
      </c>
      <c r="X9" s="71" t="s">
        <v>76</v>
      </c>
      <c r="Y9" s="70" t="s">
        <v>77</v>
      </c>
    </row>
    <row r="10" spans="2:25" s="33" customFormat="1" ht="45" hidden="1" customHeight="1" x14ac:dyDescent="0.25">
      <c r="B10" s="51">
        <v>32</v>
      </c>
      <c r="C10" s="30" t="s">
        <v>62</v>
      </c>
      <c r="D10" s="30" t="s">
        <v>63</v>
      </c>
      <c r="E10" s="30" t="s">
        <v>79</v>
      </c>
      <c r="F10" s="30" t="s">
        <v>27</v>
      </c>
      <c r="G10" s="30"/>
      <c r="H10" s="30" t="s">
        <v>28</v>
      </c>
      <c r="I10" s="31" t="s">
        <v>59</v>
      </c>
      <c r="J10" s="30" t="s">
        <v>78</v>
      </c>
      <c r="K10" s="32">
        <v>15000000</v>
      </c>
      <c r="L10" s="32">
        <v>12750000</v>
      </c>
      <c r="M10" s="32"/>
      <c r="N10" s="30" t="s">
        <v>21</v>
      </c>
      <c r="O10" s="30" t="s">
        <v>60</v>
      </c>
      <c r="P10" s="31" t="s">
        <v>18</v>
      </c>
      <c r="Q10" s="31"/>
      <c r="R10" s="47">
        <v>45197</v>
      </c>
      <c r="S10" s="68" t="s">
        <v>73</v>
      </c>
      <c r="T10" s="69" t="s">
        <v>75</v>
      </c>
      <c r="U10" s="69" t="s">
        <v>74</v>
      </c>
      <c r="V10" s="69" t="s">
        <v>75</v>
      </c>
      <c r="W10" s="71" t="s">
        <v>76</v>
      </c>
      <c r="X10" s="71" t="s">
        <v>76</v>
      </c>
      <c r="Y10" s="70" t="s">
        <v>77</v>
      </c>
    </row>
    <row r="11" spans="2:25" s="33" customFormat="1" ht="57" customHeight="1" x14ac:dyDescent="0.25">
      <c r="B11" s="51">
        <v>1</v>
      </c>
      <c r="C11" s="30" t="s">
        <v>64</v>
      </c>
      <c r="D11" s="30" t="s">
        <v>49</v>
      </c>
      <c r="E11" s="30" t="s">
        <v>5</v>
      </c>
      <c r="F11" s="30" t="s">
        <v>81</v>
      </c>
      <c r="G11" s="30"/>
      <c r="H11" s="30" t="s">
        <v>82</v>
      </c>
      <c r="I11" s="30" t="s">
        <v>99</v>
      </c>
      <c r="J11" s="30" t="s">
        <v>101</v>
      </c>
      <c r="K11" s="32">
        <v>833625000</v>
      </c>
      <c r="L11" s="32">
        <v>333450000</v>
      </c>
      <c r="M11" s="32">
        <f>K11*3</f>
        <v>2500875000</v>
      </c>
      <c r="N11" s="30" t="s">
        <v>21</v>
      </c>
      <c r="O11" s="30" t="s">
        <v>103</v>
      </c>
      <c r="P11" s="30" t="s">
        <v>104</v>
      </c>
      <c r="Q11" s="72"/>
      <c r="R11" s="73">
        <v>45154</v>
      </c>
      <c r="S11" s="77">
        <v>46022</v>
      </c>
      <c r="T11" s="72">
        <v>45231</v>
      </c>
      <c r="U11" s="72">
        <v>46022</v>
      </c>
      <c r="V11" s="72">
        <v>45261</v>
      </c>
      <c r="W11" s="72">
        <v>46203</v>
      </c>
      <c r="X11" s="72">
        <v>44197</v>
      </c>
      <c r="Y11" s="78">
        <v>47483</v>
      </c>
    </row>
    <row r="12" spans="2:25" s="33" customFormat="1" ht="45" customHeight="1" x14ac:dyDescent="0.25">
      <c r="B12" s="51">
        <f>B11+1</f>
        <v>2</v>
      </c>
      <c r="C12" s="30" t="s">
        <v>64</v>
      </c>
      <c r="D12" s="30" t="s">
        <v>49</v>
      </c>
      <c r="E12" s="30" t="s">
        <v>5</v>
      </c>
      <c r="F12" s="30" t="s">
        <v>83</v>
      </c>
      <c r="G12" s="30"/>
      <c r="H12" s="30" t="s">
        <v>82</v>
      </c>
      <c r="I12" s="30" t="s">
        <v>99</v>
      </c>
      <c r="J12" s="30" t="s">
        <v>101</v>
      </c>
      <c r="K12" s="32">
        <v>3624875000</v>
      </c>
      <c r="L12" s="32">
        <v>1449950000</v>
      </c>
      <c r="M12" s="32">
        <f t="shared" ref="M12:M32" si="0">K12*3</f>
        <v>10874625000</v>
      </c>
      <c r="N12" s="30" t="s">
        <v>50</v>
      </c>
      <c r="O12" s="30" t="s">
        <v>103</v>
      </c>
      <c r="P12" s="30" t="s">
        <v>104</v>
      </c>
      <c r="Q12" s="72"/>
      <c r="R12" s="73">
        <v>45154</v>
      </c>
      <c r="S12" s="77">
        <v>46022</v>
      </c>
      <c r="T12" s="72">
        <v>45231</v>
      </c>
      <c r="U12" s="72">
        <v>46022</v>
      </c>
      <c r="V12" s="72">
        <v>45261</v>
      </c>
      <c r="W12" s="72">
        <v>46203</v>
      </c>
      <c r="X12" s="72">
        <v>44197</v>
      </c>
      <c r="Y12" s="78">
        <v>47483</v>
      </c>
    </row>
    <row r="13" spans="2:25" s="33" customFormat="1" ht="45" customHeight="1" x14ac:dyDescent="0.25">
      <c r="B13" s="51">
        <f t="shared" ref="B13:B28" si="1">B12+1</f>
        <v>3</v>
      </c>
      <c r="C13" s="30" t="s">
        <v>64</v>
      </c>
      <c r="D13" s="30" t="s">
        <v>49</v>
      </c>
      <c r="E13" s="30" t="s">
        <v>5</v>
      </c>
      <c r="F13" s="30" t="s">
        <v>84</v>
      </c>
      <c r="G13" s="30"/>
      <c r="H13" s="30" t="s">
        <v>82</v>
      </c>
      <c r="I13" s="30" t="s">
        <v>99</v>
      </c>
      <c r="J13" s="30" t="s">
        <v>101</v>
      </c>
      <c r="K13" s="32">
        <v>4000000</v>
      </c>
      <c r="L13" s="32">
        <v>1600000</v>
      </c>
      <c r="M13" s="32">
        <f t="shared" si="0"/>
        <v>12000000</v>
      </c>
      <c r="N13" s="30" t="s">
        <v>50</v>
      </c>
      <c r="O13" s="30" t="s">
        <v>103</v>
      </c>
      <c r="P13" s="30" t="s">
        <v>104</v>
      </c>
      <c r="Q13" s="72"/>
      <c r="R13" s="73">
        <v>45154</v>
      </c>
      <c r="S13" s="77">
        <v>46022</v>
      </c>
      <c r="T13" s="72">
        <v>45231</v>
      </c>
      <c r="U13" s="72">
        <v>46022</v>
      </c>
      <c r="V13" s="72">
        <v>45261</v>
      </c>
      <c r="W13" s="72">
        <v>46203</v>
      </c>
      <c r="X13" s="72">
        <v>44197</v>
      </c>
      <c r="Y13" s="78">
        <v>47483</v>
      </c>
    </row>
    <row r="14" spans="2:25" s="33" customFormat="1" ht="45" customHeight="1" x14ac:dyDescent="0.25">
      <c r="B14" s="51">
        <f t="shared" si="1"/>
        <v>4</v>
      </c>
      <c r="C14" s="30" t="s">
        <v>64</v>
      </c>
      <c r="D14" s="30" t="s">
        <v>49</v>
      </c>
      <c r="E14" s="30" t="s">
        <v>5</v>
      </c>
      <c r="F14" s="30" t="s">
        <v>85</v>
      </c>
      <c r="G14" s="30"/>
      <c r="H14" s="30" t="s">
        <v>82</v>
      </c>
      <c r="I14" s="30" t="s">
        <v>99</v>
      </c>
      <c r="J14" s="30" t="s">
        <v>101</v>
      </c>
      <c r="K14" s="32">
        <v>157657500</v>
      </c>
      <c r="L14" s="32">
        <v>63063000</v>
      </c>
      <c r="M14" s="32">
        <f t="shared" si="0"/>
        <v>472972500</v>
      </c>
      <c r="N14" s="30" t="s">
        <v>21</v>
      </c>
      <c r="O14" s="30" t="s">
        <v>105</v>
      </c>
      <c r="P14" s="30" t="s">
        <v>106</v>
      </c>
      <c r="Q14" s="72"/>
      <c r="R14" s="73">
        <v>45154</v>
      </c>
      <c r="S14" s="77">
        <v>46022</v>
      </c>
      <c r="T14" s="72">
        <v>45231</v>
      </c>
      <c r="U14" s="72">
        <v>46022</v>
      </c>
      <c r="V14" s="72">
        <v>45261</v>
      </c>
      <c r="W14" s="72">
        <v>46203</v>
      </c>
      <c r="X14" s="72">
        <v>44197</v>
      </c>
      <c r="Y14" s="78">
        <v>47483</v>
      </c>
    </row>
    <row r="15" spans="2:25" s="33" customFormat="1" ht="45" customHeight="1" x14ac:dyDescent="0.25">
      <c r="B15" s="51">
        <f t="shared" si="1"/>
        <v>5</v>
      </c>
      <c r="C15" s="30" t="s">
        <v>64</v>
      </c>
      <c r="D15" s="30" t="s">
        <v>49</v>
      </c>
      <c r="E15" s="30" t="s">
        <v>5</v>
      </c>
      <c r="F15" s="30" t="s">
        <v>86</v>
      </c>
      <c r="G15" s="30"/>
      <c r="H15" s="30" t="s">
        <v>87</v>
      </c>
      <c r="I15" s="30" t="s">
        <v>99</v>
      </c>
      <c r="J15" s="30" t="s">
        <v>101</v>
      </c>
      <c r="K15" s="32">
        <v>592342500</v>
      </c>
      <c r="L15" s="32">
        <v>236937000</v>
      </c>
      <c r="M15" s="32">
        <f t="shared" si="0"/>
        <v>1777027500</v>
      </c>
      <c r="N15" s="30" t="s">
        <v>21</v>
      </c>
      <c r="O15" s="30" t="s">
        <v>105</v>
      </c>
      <c r="P15" s="30" t="s">
        <v>104</v>
      </c>
      <c r="Q15" s="72"/>
      <c r="R15" s="73">
        <v>45154</v>
      </c>
      <c r="S15" s="77">
        <v>46022</v>
      </c>
      <c r="T15" s="72">
        <v>45231</v>
      </c>
      <c r="U15" s="72">
        <v>46022</v>
      </c>
      <c r="V15" s="72">
        <v>45261</v>
      </c>
      <c r="W15" s="72">
        <v>46203</v>
      </c>
      <c r="X15" s="72">
        <v>44197</v>
      </c>
      <c r="Y15" s="78">
        <v>47483</v>
      </c>
    </row>
    <row r="16" spans="2:25" s="33" customFormat="1" ht="45" customHeight="1" x14ac:dyDescent="0.25">
      <c r="B16" s="51">
        <f t="shared" si="1"/>
        <v>6</v>
      </c>
      <c r="C16" s="30" t="s">
        <v>64</v>
      </c>
      <c r="D16" s="30" t="s">
        <v>49</v>
      </c>
      <c r="E16" s="30" t="s">
        <v>5</v>
      </c>
      <c r="F16" s="30" t="s">
        <v>88</v>
      </c>
      <c r="G16" s="30"/>
      <c r="H16" s="30" t="s">
        <v>82</v>
      </c>
      <c r="I16" s="30" t="s">
        <v>99</v>
      </c>
      <c r="J16" s="30" t="s">
        <v>101</v>
      </c>
      <c r="K16" s="32">
        <v>177650000</v>
      </c>
      <c r="L16" s="32">
        <v>71060000</v>
      </c>
      <c r="M16" s="32">
        <f t="shared" si="0"/>
        <v>532950000</v>
      </c>
      <c r="N16" s="30" t="s">
        <v>21</v>
      </c>
      <c r="O16" s="30" t="s">
        <v>107</v>
      </c>
      <c r="P16" s="30" t="s">
        <v>104</v>
      </c>
      <c r="Q16" s="72"/>
      <c r="R16" s="73">
        <v>45154</v>
      </c>
      <c r="S16" s="77">
        <v>46022</v>
      </c>
      <c r="T16" s="72">
        <v>45231</v>
      </c>
      <c r="U16" s="72">
        <v>46022</v>
      </c>
      <c r="V16" s="72">
        <v>45261</v>
      </c>
      <c r="W16" s="72">
        <v>46203</v>
      </c>
      <c r="X16" s="72">
        <v>44197</v>
      </c>
      <c r="Y16" s="78">
        <v>47483</v>
      </c>
    </row>
    <row r="17" spans="2:25" s="33" customFormat="1" ht="45" customHeight="1" x14ac:dyDescent="0.25">
      <c r="B17" s="51">
        <f t="shared" si="1"/>
        <v>7</v>
      </c>
      <c r="C17" s="30" t="s">
        <v>64</v>
      </c>
      <c r="D17" s="30" t="s">
        <v>49</v>
      </c>
      <c r="E17" s="30" t="s">
        <v>5</v>
      </c>
      <c r="F17" s="30" t="s">
        <v>89</v>
      </c>
      <c r="G17" s="30"/>
      <c r="H17" s="30" t="s">
        <v>87</v>
      </c>
      <c r="I17" s="30" t="s">
        <v>99</v>
      </c>
      <c r="J17" s="30" t="s">
        <v>101</v>
      </c>
      <c r="K17" s="32">
        <v>72350000</v>
      </c>
      <c r="L17" s="32">
        <v>28940000</v>
      </c>
      <c r="M17" s="32">
        <f t="shared" si="0"/>
        <v>217050000</v>
      </c>
      <c r="N17" s="30" t="s">
        <v>21</v>
      </c>
      <c r="O17" s="30" t="s">
        <v>107</v>
      </c>
      <c r="P17" s="30" t="s">
        <v>104</v>
      </c>
      <c r="Q17" s="72"/>
      <c r="R17" s="73">
        <v>45154</v>
      </c>
      <c r="S17" s="77">
        <v>46022</v>
      </c>
      <c r="T17" s="72">
        <v>45231</v>
      </c>
      <c r="U17" s="72">
        <v>46022</v>
      </c>
      <c r="V17" s="72">
        <v>45261</v>
      </c>
      <c r="W17" s="72">
        <v>46203</v>
      </c>
      <c r="X17" s="72">
        <v>44197</v>
      </c>
      <c r="Y17" s="78">
        <v>47483</v>
      </c>
    </row>
    <row r="18" spans="2:25" s="33" customFormat="1" ht="45" customHeight="1" x14ac:dyDescent="0.25">
      <c r="B18" s="51">
        <f t="shared" si="1"/>
        <v>8</v>
      </c>
      <c r="C18" s="30" t="s">
        <v>64</v>
      </c>
      <c r="D18" s="30" t="s">
        <v>49</v>
      </c>
      <c r="E18" s="30" t="s">
        <v>5</v>
      </c>
      <c r="F18" s="30" t="s">
        <v>90</v>
      </c>
      <c r="G18" s="30"/>
      <c r="H18" s="30" t="s">
        <v>82</v>
      </c>
      <c r="I18" s="30" t="s">
        <v>99</v>
      </c>
      <c r="J18" s="30" t="s">
        <v>101</v>
      </c>
      <c r="K18" s="32">
        <v>1356380000</v>
      </c>
      <c r="L18" s="32">
        <v>678190000</v>
      </c>
      <c r="M18" s="32">
        <f t="shared" si="0"/>
        <v>4069140000</v>
      </c>
      <c r="N18" s="30" t="s">
        <v>21</v>
      </c>
      <c r="O18" s="30" t="s">
        <v>108</v>
      </c>
      <c r="P18" s="30" t="s">
        <v>104</v>
      </c>
      <c r="Q18" s="72"/>
      <c r="R18" s="73">
        <v>45154</v>
      </c>
      <c r="S18" s="77">
        <v>46022</v>
      </c>
      <c r="T18" s="72">
        <v>45231</v>
      </c>
      <c r="U18" s="72">
        <v>46022</v>
      </c>
      <c r="V18" s="72">
        <v>45261</v>
      </c>
      <c r="W18" s="72">
        <v>46203</v>
      </c>
      <c r="X18" s="72">
        <v>44197</v>
      </c>
      <c r="Y18" s="78">
        <v>47483</v>
      </c>
    </row>
    <row r="19" spans="2:25" s="33" customFormat="1" ht="45" customHeight="1" x14ac:dyDescent="0.25">
      <c r="B19" s="51">
        <f t="shared" si="1"/>
        <v>9</v>
      </c>
      <c r="C19" s="30" t="s">
        <v>64</v>
      </c>
      <c r="D19" s="30" t="s">
        <v>49</v>
      </c>
      <c r="E19" s="30" t="s">
        <v>5</v>
      </c>
      <c r="F19" s="30" t="s">
        <v>91</v>
      </c>
      <c r="G19" s="30"/>
      <c r="H19" s="30" t="s">
        <v>82</v>
      </c>
      <c r="I19" s="30" t="s">
        <v>99</v>
      </c>
      <c r="J19" s="30" t="s">
        <v>101</v>
      </c>
      <c r="K19" s="32">
        <v>1182650652</v>
      </c>
      <c r="L19" s="32">
        <v>591325326</v>
      </c>
      <c r="M19" s="32">
        <f t="shared" si="0"/>
        <v>3547951956</v>
      </c>
      <c r="N19" s="30" t="s">
        <v>50</v>
      </c>
      <c r="O19" s="30" t="s">
        <v>108</v>
      </c>
      <c r="P19" s="30" t="s">
        <v>104</v>
      </c>
      <c r="Q19" s="72"/>
      <c r="R19" s="73">
        <v>45154</v>
      </c>
      <c r="S19" s="77">
        <v>46022</v>
      </c>
      <c r="T19" s="72">
        <v>45231</v>
      </c>
      <c r="U19" s="72">
        <v>46022</v>
      </c>
      <c r="V19" s="72">
        <v>45261</v>
      </c>
      <c r="W19" s="72">
        <v>46203</v>
      </c>
      <c r="X19" s="72">
        <v>44197</v>
      </c>
      <c r="Y19" s="78">
        <v>47483</v>
      </c>
    </row>
    <row r="20" spans="2:25" s="33" customFormat="1" ht="45" customHeight="1" x14ac:dyDescent="0.25">
      <c r="B20" s="51">
        <f t="shared" si="1"/>
        <v>10</v>
      </c>
      <c r="C20" s="30" t="s">
        <v>64</v>
      </c>
      <c r="D20" s="30" t="s">
        <v>49</v>
      </c>
      <c r="E20" s="30" t="s">
        <v>5</v>
      </c>
      <c r="F20" s="30" t="s">
        <v>91</v>
      </c>
      <c r="G20" s="30"/>
      <c r="H20" s="30" t="s">
        <v>82</v>
      </c>
      <c r="I20" s="30" t="s">
        <v>99</v>
      </c>
      <c r="J20" s="30" t="s">
        <v>101</v>
      </c>
      <c r="K20" s="32">
        <v>10000000</v>
      </c>
      <c r="L20" s="32">
        <v>5000000</v>
      </c>
      <c r="M20" s="32">
        <f t="shared" si="0"/>
        <v>30000000</v>
      </c>
      <c r="N20" s="30" t="s">
        <v>50</v>
      </c>
      <c r="O20" s="30" t="s">
        <v>108</v>
      </c>
      <c r="P20" s="30" t="s">
        <v>104</v>
      </c>
      <c r="Q20" s="72"/>
      <c r="R20" s="73">
        <v>45154</v>
      </c>
      <c r="S20" s="77">
        <v>46022</v>
      </c>
      <c r="T20" s="72">
        <v>45231</v>
      </c>
      <c r="U20" s="72">
        <v>46022</v>
      </c>
      <c r="V20" s="72">
        <v>45261</v>
      </c>
      <c r="W20" s="72">
        <v>46203</v>
      </c>
      <c r="X20" s="72">
        <v>44197</v>
      </c>
      <c r="Y20" s="78">
        <v>47483</v>
      </c>
    </row>
    <row r="21" spans="2:25" s="33" customFormat="1" ht="45" customHeight="1" x14ac:dyDescent="0.25">
      <c r="B21" s="51">
        <f t="shared" si="1"/>
        <v>11</v>
      </c>
      <c r="C21" s="30" t="s">
        <v>64</v>
      </c>
      <c r="D21" s="30" t="s">
        <v>49</v>
      </c>
      <c r="E21" s="30" t="s">
        <v>5</v>
      </c>
      <c r="F21" s="30" t="s">
        <v>92</v>
      </c>
      <c r="G21" s="30"/>
      <c r="H21" s="30" t="s">
        <v>87</v>
      </c>
      <c r="I21" s="30" t="s">
        <v>99</v>
      </c>
      <c r="J21" s="30" t="s">
        <v>101</v>
      </c>
      <c r="K21" s="32">
        <v>294117648</v>
      </c>
      <c r="L21" s="32">
        <v>250000000</v>
      </c>
      <c r="M21" s="32">
        <f t="shared" si="0"/>
        <v>882352944</v>
      </c>
      <c r="N21" s="30" t="s">
        <v>21</v>
      </c>
      <c r="O21" s="30" t="s">
        <v>109</v>
      </c>
      <c r="P21" s="30" t="s">
        <v>104</v>
      </c>
      <c r="Q21" s="72"/>
      <c r="R21" s="73">
        <v>45154</v>
      </c>
      <c r="S21" s="77">
        <v>46022</v>
      </c>
      <c r="T21" s="72">
        <v>45231</v>
      </c>
      <c r="U21" s="72">
        <v>46022</v>
      </c>
      <c r="V21" s="72">
        <v>45261</v>
      </c>
      <c r="W21" s="72">
        <v>46203</v>
      </c>
      <c r="X21" s="72">
        <v>44197</v>
      </c>
      <c r="Y21" s="78">
        <v>47483</v>
      </c>
    </row>
    <row r="22" spans="2:25" s="33" customFormat="1" ht="45" customHeight="1" x14ac:dyDescent="0.25">
      <c r="B22" s="51">
        <f t="shared" si="1"/>
        <v>12</v>
      </c>
      <c r="C22" s="30" t="s">
        <v>64</v>
      </c>
      <c r="D22" s="30" t="s">
        <v>49</v>
      </c>
      <c r="E22" s="30" t="s">
        <v>5</v>
      </c>
      <c r="F22" s="30" t="s">
        <v>93</v>
      </c>
      <c r="G22" s="30"/>
      <c r="H22" s="30" t="s">
        <v>94</v>
      </c>
      <c r="I22" s="30" t="s">
        <v>100</v>
      </c>
      <c r="J22" s="30" t="s">
        <v>101</v>
      </c>
      <c r="K22" s="32">
        <v>411764706</v>
      </c>
      <c r="L22" s="32">
        <v>350000000</v>
      </c>
      <c r="M22" s="32">
        <f t="shared" si="0"/>
        <v>1235294118</v>
      </c>
      <c r="N22" s="30" t="s">
        <v>21</v>
      </c>
      <c r="O22" s="30" t="s">
        <v>110</v>
      </c>
      <c r="P22" s="30" t="s">
        <v>104</v>
      </c>
      <c r="Q22" s="72"/>
      <c r="R22" s="73">
        <v>45173</v>
      </c>
      <c r="S22" s="77">
        <v>45657</v>
      </c>
      <c r="T22" s="72">
        <v>45231</v>
      </c>
      <c r="U22" s="72">
        <v>45657</v>
      </c>
      <c r="V22" s="72">
        <v>45261</v>
      </c>
      <c r="W22" s="72">
        <v>46203</v>
      </c>
      <c r="X22" s="72">
        <v>44197</v>
      </c>
      <c r="Y22" s="78">
        <v>47483</v>
      </c>
    </row>
    <row r="23" spans="2:25" s="33" customFormat="1" ht="45" customHeight="1" x14ac:dyDescent="0.25">
      <c r="B23" s="51">
        <f t="shared" si="1"/>
        <v>13</v>
      </c>
      <c r="C23" s="30" t="s">
        <v>64</v>
      </c>
      <c r="D23" s="30" t="s">
        <v>49</v>
      </c>
      <c r="E23" s="30" t="s">
        <v>5</v>
      </c>
      <c r="F23" s="30" t="s">
        <v>95</v>
      </c>
      <c r="G23" s="30"/>
      <c r="H23" s="30" t="s">
        <v>94</v>
      </c>
      <c r="I23" s="30" t="s">
        <v>100</v>
      </c>
      <c r="J23" s="30" t="s">
        <v>102</v>
      </c>
      <c r="K23" s="32">
        <v>83529411.790000007</v>
      </c>
      <c r="L23" s="32">
        <v>71000000</v>
      </c>
      <c r="M23" s="32">
        <f t="shared" si="0"/>
        <v>250588235.37</v>
      </c>
      <c r="N23" s="30" t="s">
        <v>50</v>
      </c>
      <c r="O23" s="30" t="s">
        <v>111</v>
      </c>
      <c r="P23" s="30" t="s">
        <v>104</v>
      </c>
      <c r="Q23" s="72"/>
      <c r="R23" s="73">
        <v>45173</v>
      </c>
      <c r="S23" s="77">
        <v>45657</v>
      </c>
      <c r="T23" s="72">
        <v>45231</v>
      </c>
      <c r="U23" s="72">
        <v>45657</v>
      </c>
      <c r="V23" s="72">
        <v>45261</v>
      </c>
      <c r="W23" s="72">
        <v>46203</v>
      </c>
      <c r="X23" s="72">
        <v>44197</v>
      </c>
      <c r="Y23" s="78">
        <v>47483</v>
      </c>
    </row>
    <row r="24" spans="2:25" s="33" customFormat="1" ht="45" customHeight="1" x14ac:dyDescent="0.25">
      <c r="B24" s="51">
        <f t="shared" si="1"/>
        <v>14</v>
      </c>
      <c r="C24" s="30" t="s">
        <v>64</v>
      </c>
      <c r="D24" s="30" t="s">
        <v>49</v>
      </c>
      <c r="E24" s="30" t="s">
        <v>5</v>
      </c>
      <c r="F24" s="30" t="s">
        <v>96</v>
      </c>
      <c r="G24" s="30"/>
      <c r="H24" s="30" t="s">
        <v>94</v>
      </c>
      <c r="I24" s="30" t="s">
        <v>100</v>
      </c>
      <c r="J24" s="30" t="s">
        <v>102</v>
      </c>
      <c r="K24" s="32">
        <v>225294117.65000001</v>
      </c>
      <c r="L24" s="32">
        <v>191500000</v>
      </c>
      <c r="M24" s="32">
        <f t="shared" si="0"/>
        <v>675882352.95000005</v>
      </c>
      <c r="N24" s="30" t="s">
        <v>50</v>
      </c>
      <c r="O24" s="30" t="s">
        <v>112</v>
      </c>
      <c r="P24" s="30" t="s">
        <v>104</v>
      </c>
      <c r="Q24" s="72"/>
      <c r="R24" s="73">
        <v>45154</v>
      </c>
      <c r="S24" s="77">
        <v>46022</v>
      </c>
      <c r="T24" s="72">
        <v>45231</v>
      </c>
      <c r="U24" s="72">
        <v>46022</v>
      </c>
      <c r="V24" s="72">
        <v>45261</v>
      </c>
      <c r="W24" s="72">
        <v>46203</v>
      </c>
      <c r="X24" s="72">
        <v>44197</v>
      </c>
      <c r="Y24" s="78">
        <v>47483</v>
      </c>
    </row>
    <row r="25" spans="2:25" s="33" customFormat="1" ht="45" customHeight="1" x14ac:dyDescent="0.25">
      <c r="B25" s="51">
        <f t="shared" si="1"/>
        <v>15</v>
      </c>
      <c r="C25" s="30" t="s">
        <v>64</v>
      </c>
      <c r="D25" s="30" t="s">
        <v>49</v>
      </c>
      <c r="E25" s="30" t="s">
        <v>5</v>
      </c>
      <c r="F25" s="30" t="s">
        <v>97</v>
      </c>
      <c r="G25" s="30"/>
      <c r="H25" s="30" t="s">
        <v>94</v>
      </c>
      <c r="I25" s="30" t="s">
        <v>100</v>
      </c>
      <c r="J25" s="30" t="s">
        <v>102</v>
      </c>
      <c r="K25" s="32">
        <v>10000000</v>
      </c>
      <c r="L25" s="32">
        <v>8500000</v>
      </c>
      <c r="M25" s="32">
        <f t="shared" si="0"/>
        <v>30000000</v>
      </c>
      <c r="N25" s="30" t="s">
        <v>50</v>
      </c>
      <c r="O25" s="30" t="s">
        <v>113</v>
      </c>
      <c r="P25" s="30" t="s">
        <v>104</v>
      </c>
      <c r="Q25" s="72"/>
      <c r="R25" s="73">
        <v>45154</v>
      </c>
      <c r="S25" s="77">
        <v>46022</v>
      </c>
      <c r="T25" s="72">
        <v>45231</v>
      </c>
      <c r="U25" s="72">
        <v>46022</v>
      </c>
      <c r="V25" s="72">
        <v>45261</v>
      </c>
      <c r="W25" s="72">
        <v>46203</v>
      </c>
      <c r="X25" s="72">
        <v>44197</v>
      </c>
      <c r="Y25" s="78">
        <v>47483</v>
      </c>
    </row>
    <row r="26" spans="2:25" s="33" customFormat="1" ht="249.75" customHeight="1" x14ac:dyDescent="0.25">
      <c r="B26" s="51">
        <f t="shared" si="1"/>
        <v>16</v>
      </c>
      <c r="C26" s="30" t="s">
        <v>64</v>
      </c>
      <c r="D26" s="30" t="s">
        <v>49</v>
      </c>
      <c r="E26" s="30" t="s">
        <v>5</v>
      </c>
      <c r="F26" s="30" t="s">
        <v>124</v>
      </c>
      <c r="G26" s="30">
        <v>134</v>
      </c>
      <c r="H26" s="30" t="s">
        <v>82</v>
      </c>
      <c r="I26" s="30" t="s">
        <v>99</v>
      </c>
      <c r="J26" s="30" t="s">
        <v>101</v>
      </c>
      <c r="K26" s="32">
        <v>362000000</v>
      </c>
      <c r="L26" s="32">
        <f>K26/2</f>
        <v>181000000</v>
      </c>
      <c r="M26" s="32">
        <f t="shared" si="0"/>
        <v>1086000000</v>
      </c>
      <c r="N26" s="30" t="s">
        <v>50</v>
      </c>
      <c r="O26" s="30" t="s">
        <v>114</v>
      </c>
      <c r="P26" s="30" t="s">
        <v>104</v>
      </c>
      <c r="Q26" s="39">
        <v>45225</v>
      </c>
      <c r="R26" s="39">
        <v>45225</v>
      </c>
      <c r="S26" s="47" t="s">
        <v>130</v>
      </c>
      <c r="T26" s="47">
        <v>45261</v>
      </c>
      <c r="U26" s="47">
        <v>46022</v>
      </c>
      <c r="V26" s="74">
        <v>45292</v>
      </c>
      <c r="W26" s="72">
        <v>46203</v>
      </c>
      <c r="X26" s="47">
        <v>44197</v>
      </c>
      <c r="Y26" s="75">
        <v>47483</v>
      </c>
    </row>
    <row r="27" spans="2:25" s="33" customFormat="1" ht="200.25" customHeight="1" x14ac:dyDescent="0.25">
      <c r="B27" s="51">
        <f t="shared" si="1"/>
        <v>17</v>
      </c>
      <c r="C27" s="30" t="s">
        <v>64</v>
      </c>
      <c r="D27" s="30" t="s">
        <v>49</v>
      </c>
      <c r="E27" s="30" t="s">
        <v>5</v>
      </c>
      <c r="F27" s="30" t="s">
        <v>125</v>
      </c>
      <c r="G27" s="30">
        <v>135</v>
      </c>
      <c r="H27" s="30" t="s">
        <v>82</v>
      </c>
      <c r="I27" s="30" t="s">
        <v>99</v>
      </c>
      <c r="J27" s="30" t="s">
        <v>101</v>
      </c>
      <c r="K27" s="32">
        <v>90000000</v>
      </c>
      <c r="L27" s="32">
        <f>K27/2</f>
        <v>45000000</v>
      </c>
      <c r="M27" s="32">
        <f t="shared" si="0"/>
        <v>270000000</v>
      </c>
      <c r="N27" s="30" t="s">
        <v>50</v>
      </c>
      <c r="O27" s="30" t="s">
        <v>123</v>
      </c>
      <c r="P27" s="30" t="s">
        <v>104</v>
      </c>
      <c r="Q27" s="39">
        <v>45225</v>
      </c>
      <c r="R27" s="39">
        <v>45225</v>
      </c>
      <c r="S27" s="74" t="s">
        <v>131</v>
      </c>
      <c r="T27" s="74">
        <v>45261</v>
      </c>
      <c r="U27" s="74">
        <v>46022</v>
      </c>
      <c r="V27" s="74">
        <v>46023</v>
      </c>
      <c r="W27" s="72">
        <v>46203</v>
      </c>
      <c r="X27" s="74">
        <v>44197</v>
      </c>
      <c r="Y27" s="75">
        <v>47483</v>
      </c>
    </row>
    <row r="28" spans="2:25" s="33" customFormat="1" ht="126.75" customHeight="1" x14ac:dyDescent="0.25">
      <c r="B28" s="51">
        <f t="shared" si="1"/>
        <v>18</v>
      </c>
      <c r="C28" s="30" t="s">
        <v>64</v>
      </c>
      <c r="D28" s="30" t="s">
        <v>49</v>
      </c>
      <c r="E28" s="30" t="s">
        <v>5</v>
      </c>
      <c r="F28" s="30" t="s">
        <v>126</v>
      </c>
      <c r="G28" s="30">
        <v>136</v>
      </c>
      <c r="H28" s="30" t="s">
        <v>82</v>
      </c>
      <c r="I28" s="30" t="s">
        <v>99</v>
      </c>
      <c r="J28" s="30" t="s">
        <v>101</v>
      </c>
      <c r="K28" s="32">
        <v>30000000</v>
      </c>
      <c r="L28" s="32">
        <f>K28/2</f>
        <v>15000000</v>
      </c>
      <c r="M28" s="32">
        <f t="shared" si="0"/>
        <v>90000000</v>
      </c>
      <c r="N28" s="30" t="s">
        <v>50</v>
      </c>
      <c r="O28" s="30" t="s">
        <v>129</v>
      </c>
      <c r="P28" s="30" t="s">
        <v>18</v>
      </c>
      <c r="Q28" s="73">
        <v>45397</v>
      </c>
      <c r="R28" s="73">
        <v>45397</v>
      </c>
      <c r="S28" s="73">
        <v>45580</v>
      </c>
      <c r="T28" s="73">
        <v>45581</v>
      </c>
      <c r="U28" s="73">
        <v>45657</v>
      </c>
      <c r="V28" s="73">
        <v>45662</v>
      </c>
      <c r="W28" s="73">
        <v>45688</v>
      </c>
      <c r="X28" s="73">
        <v>45689</v>
      </c>
      <c r="Y28" s="76">
        <v>47483</v>
      </c>
    </row>
    <row r="29" spans="2:25" s="33" customFormat="1" ht="163.5" customHeight="1" x14ac:dyDescent="0.25">
      <c r="B29" s="51">
        <v>19</v>
      </c>
      <c r="C29" s="30" t="s">
        <v>64</v>
      </c>
      <c r="D29" s="30" t="s">
        <v>49</v>
      </c>
      <c r="E29" s="30" t="s">
        <v>5</v>
      </c>
      <c r="F29" s="30" t="s">
        <v>134</v>
      </c>
      <c r="G29" s="30">
        <v>237</v>
      </c>
      <c r="H29" s="30" t="s">
        <v>82</v>
      </c>
      <c r="I29" s="30" t="s">
        <v>99</v>
      </c>
      <c r="J29" s="30" t="s">
        <v>101</v>
      </c>
      <c r="K29" s="32">
        <v>42000000</v>
      </c>
      <c r="L29" s="32">
        <f>K29/2</f>
        <v>21000000</v>
      </c>
      <c r="M29" s="32">
        <f t="shared" si="0"/>
        <v>126000000</v>
      </c>
      <c r="N29" s="30" t="s">
        <v>50</v>
      </c>
      <c r="O29" s="30" t="s">
        <v>135</v>
      </c>
      <c r="P29" s="30" t="s">
        <v>18</v>
      </c>
      <c r="Q29" s="73">
        <v>45397</v>
      </c>
      <c r="R29" s="73">
        <v>45397</v>
      </c>
      <c r="S29" s="73">
        <v>45468</v>
      </c>
      <c r="T29" s="73">
        <v>45469</v>
      </c>
      <c r="U29" s="73">
        <v>45580</v>
      </c>
      <c r="V29" s="73">
        <v>45581</v>
      </c>
      <c r="W29" s="73">
        <v>45612</v>
      </c>
      <c r="X29" s="73">
        <v>45613</v>
      </c>
      <c r="Y29" s="76">
        <v>46022</v>
      </c>
    </row>
    <row r="30" spans="2:25" s="33" customFormat="1" ht="111.75" customHeight="1" x14ac:dyDescent="0.25">
      <c r="B30" s="51">
        <v>20</v>
      </c>
      <c r="C30" s="30" t="s">
        <v>64</v>
      </c>
      <c r="D30" s="30" t="s">
        <v>49</v>
      </c>
      <c r="E30" s="30" t="s">
        <v>5</v>
      </c>
      <c r="F30" s="30" t="s">
        <v>127</v>
      </c>
      <c r="G30" s="30">
        <v>153</v>
      </c>
      <c r="H30" s="30" t="s">
        <v>82</v>
      </c>
      <c r="I30" s="30" t="s">
        <v>99</v>
      </c>
      <c r="J30" s="30" t="s">
        <v>101</v>
      </c>
      <c r="K30" s="32">
        <v>8000000</v>
      </c>
      <c r="L30" s="32">
        <f>K30/2</f>
        <v>4000000</v>
      </c>
      <c r="M30" s="32">
        <f t="shared" si="0"/>
        <v>24000000</v>
      </c>
      <c r="N30" s="30" t="s">
        <v>50</v>
      </c>
      <c r="O30" s="30" t="s">
        <v>128</v>
      </c>
      <c r="P30" s="30" t="s">
        <v>18</v>
      </c>
      <c r="Q30" s="72">
        <v>45225</v>
      </c>
      <c r="R30" s="72">
        <v>45225</v>
      </c>
      <c r="S30" s="73">
        <v>45266</v>
      </c>
      <c r="T30" s="73">
        <v>45267</v>
      </c>
      <c r="U30" s="73">
        <v>45281</v>
      </c>
      <c r="V30" s="73">
        <v>45282</v>
      </c>
      <c r="W30" s="73">
        <v>45289</v>
      </c>
      <c r="X30" s="73">
        <v>45656</v>
      </c>
      <c r="Y30" s="76">
        <v>47483</v>
      </c>
    </row>
    <row r="31" spans="2:25" s="33" customFormat="1" ht="63" customHeight="1" x14ac:dyDescent="0.25">
      <c r="B31" s="51">
        <v>21</v>
      </c>
      <c r="C31" s="30" t="s">
        <v>64</v>
      </c>
      <c r="D31" s="30" t="s">
        <v>49</v>
      </c>
      <c r="E31" s="30" t="s">
        <v>67</v>
      </c>
      <c r="F31" s="30" t="s">
        <v>98</v>
      </c>
      <c r="G31" s="30"/>
      <c r="H31" s="30"/>
      <c r="I31" s="30"/>
      <c r="J31" s="30" t="s">
        <v>101</v>
      </c>
      <c r="K31" s="32">
        <v>99500000</v>
      </c>
      <c r="L31" s="32">
        <v>74625000</v>
      </c>
      <c r="M31" s="32">
        <f t="shared" si="0"/>
        <v>298500000</v>
      </c>
      <c r="N31" s="30" t="s">
        <v>50</v>
      </c>
      <c r="O31" s="30" t="s">
        <v>121</v>
      </c>
      <c r="P31" s="30" t="s">
        <v>104</v>
      </c>
      <c r="Q31" s="72" t="s">
        <v>132</v>
      </c>
      <c r="R31" s="73">
        <v>45215</v>
      </c>
      <c r="S31" s="74">
        <v>46022</v>
      </c>
      <c r="T31" s="74">
        <v>45261</v>
      </c>
      <c r="U31" s="74">
        <v>46053</v>
      </c>
      <c r="V31" s="74">
        <v>45292</v>
      </c>
      <c r="W31" s="74">
        <v>46203</v>
      </c>
      <c r="X31" s="74">
        <v>44197</v>
      </c>
      <c r="Y31" s="75">
        <v>47483</v>
      </c>
    </row>
    <row r="32" spans="2:25" s="33" customFormat="1" ht="88.5" customHeight="1" x14ac:dyDescent="0.25">
      <c r="B32" s="51">
        <v>22</v>
      </c>
      <c r="C32" s="30" t="s">
        <v>64</v>
      </c>
      <c r="D32" s="30" t="s">
        <v>49</v>
      </c>
      <c r="E32" s="30" t="s">
        <v>67</v>
      </c>
      <c r="F32" s="30" t="s">
        <v>98</v>
      </c>
      <c r="G32" s="30"/>
      <c r="H32" s="30"/>
      <c r="I32" s="30"/>
      <c r="J32" s="30" t="s">
        <v>101</v>
      </c>
      <c r="K32" s="32">
        <v>500000</v>
      </c>
      <c r="L32" s="32">
        <v>375000</v>
      </c>
      <c r="M32" s="32">
        <f t="shared" si="0"/>
        <v>1500000</v>
      </c>
      <c r="N32" s="30" t="s">
        <v>50</v>
      </c>
      <c r="O32" s="30" t="s">
        <v>122</v>
      </c>
      <c r="P32" s="30" t="s">
        <v>104</v>
      </c>
      <c r="Q32" s="73">
        <v>45520</v>
      </c>
      <c r="R32" s="73">
        <v>45520</v>
      </c>
      <c r="S32" s="74">
        <v>46022</v>
      </c>
      <c r="T32" s="74">
        <v>45550</v>
      </c>
      <c r="U32" s="74">
        <v>46053</v>
      </c>
      <c r="V32" s="74">
        <v>45597</v>
      </c>
      <c r="W32" s="74">
        <v>46203</v>
      </c>
      <c r="X32" s="74">
        <v>44197</v>
      </c>
      <c r="Y32" s="75">
        <v>47483</v>
      </c>
    </row>
    <row r="33" spans="1:29" s="25" customFormat="1" ht="45" customHeight="1" x14ac:dyDescent="0.25">
      <c r="A33" s="21"/>
      <c r="B33" s="52"/>
      <c r="C33" s="22" t="s">
        <v>64</v>
      </c>
      <c r="D33" s="22" t="s">
        <v>49</v>
      </c>
      <c r="E33" s="22"/>
      <c r="F33" s="22"/>
      <c r="G33" s="22"/>
      <c r="H33" s="22"/>
      <c r="I33" s="23"/>
      <c r="J33" s="22"/>
      <c r="K33" s="24">
        <f>SUM(K11:K32)</f>
        <v>9668236535.4400005</v>
      </c>
      <c r="L33" s="24">
        <f>SUM(L11:L32)</f>
        <v>4671515326</v>
      </c>
      <c r="M33" s="24">
        <f>SUM(M11:M32)</f>
        <v>29004709606.32</v>
      </c>
      <c r="N33" s="22"/>
      <c r="O33" s="22"/>
      <c r="P33" s="23"/>
      <c r="Q33" s="23"/>
      <c r="R33" s="37"/>
      <c r="S33" s="38"/>
      <c r="T33" s="38"/>
      <c r="U33" s="38"/>
      <c r="V33" s="38"/>
      <c r="W33" s="38"/>
      <c r="X33" s="37"/>
      <c r="Y33" s="53"/>
      <c r="Z33" s="21"/>
    </row>
    <row r="34" spans="1:29" s="29" customFormat="1" ht="45" hidden="1" customHeight="1" x14ac:dyDescent="0.25">
      <c r="A34" s="18"/>
      <c r="B34" s="54" t="e">
        <f>#REF!+#REF!+#REF!+#REF!+#REF!+#REF!+#REF!+#REF!</f>
        <v>#REF!</v>
      </c>
      <c r="C34" s="26" t="s">
        <v>65</v>
      </c>
      <c r="D34" s="26" t="s">
        <v>115</v>
      </c>
      <c r="E34" s="26"/>
      <c r="F34" s="26"/>
      <c r="G34" s="26"/>
      <c r="H34" s="26"/>
      <c r="I34" s="27"/>
      <c r="J34" s="26"/>
      <c r="K34" s="28" t="e">
        <f>#REF!+#REF!+#REF!+#REF!+#REF!+#REF!+#REF!+#REF!</f>
        <v>#REF!</v>
      </c>
      <c r="L34" s="28" t="e">
        <f>#REF!+#REF!+#REF!+#REF!+#REF!+#REF!+#REF!+#REF!</f>
        <v>#REF!</v>
      </c>
      <c r="M34" s="28"/>
      <c r="N34" s="26"/>
      <c r="O34" s="26"/>
      <c r="P34" s="26"/>
      <c r="Q34" s="26"/>
      <c r="R34" s="40"/>
      <c r="S34" s="41"/>
      <c r="T34" s="41"/>
      <c r="U34" s="41"/>
      <c r="V34" s="41"/>
      <c r="W34" s="41"/>
      <c r="X34" s="40"/>
      <c r="Y34" s="55"/>
      <c r="AB34" s="63"/>
      <c r="AC34" s="63"/>
    </row>
    <row r="35" spans="1:29" s="29" customFormat="1" ht="45" hidden="1" customHeight="1" x14ac:dyDescent="0.25">
      <c r="A35" s="18"/>
      <c r="B35" s="54" t="e">
        <f>#REF!+#REF!+#REF!+#REF!+#REF!+#REF!+B33+#REF!</f>
        <v>#REF!</v>
      </c>
      <c r="C35" s="26" t="s">
        <v>66</v>
      </c>
      <c r="D35" s="26" t="s">
        <v>117</v>
      </c>
      <c r="E35" s="26"/>
      <c r="F35" s="26"/>
      <c r="G35" s="26"/>
      <c r="H35" s="26"/>
      <c r="I35" s="27"/>
      <c r="J35" s="26"/>
      <c r="K35" s="28" t="e">
        <f>#REF!+#REF!+#REF!+#REF!+#REF!+#REF!+K33+#REF!</f>
        <v>#REF!</v>
      </c>
      <c r="L35" s="28" t="e">
        <f>#REF!+#REF!+#REF!+#REF!+#REF!+#REF!+L33+#REF!</f>
        <v>#REF!</v>
      </c>
      <c r="M35" s="28"/>
      <c r="N35" s="26"/>
      <c r="O35" s="26"/>
      <c r="P35" s="26"/>
      <c r="Q35" s="26"/>
      <c r="R35" s="40"/>
      <c r="S35" s="41"/>
      <c r="T35" s="41"/>
      <c r="U35" s="41"/>
      <c r="V35" s="41"/>
      <c r="W35" s="41"/>
      <c r="X35" s="40"/>
      <c r="Y35" s="55"/>
      <c r="AB35" s="63"/>
      <c r="AC35" s="63"/>
    </row>
    <row r="36" spans="1:29" s="29" customFormat="1" ht="45" hidden="1" customHeight="1" thickBot="1" x14ac:dyDescent="0.3">
      <c r="A36" s="18"/>
      <c r="B36" s="56" t="e">
        <f>B34+B35</f>
        <v>#REF!</v>
      </c>
      <c r="C36" s="57" t="s">
        <v>19</v>
      </c>
      <c r="D36" s="57" t="s">
        <v>116</v>
      </c>
      <c r="E36" s="57"/>
      <c r="F36" s="57"/>
      <c r="G36" s="57"/>
      <c r="H36" s="57"/>
      <c r="I36" s="58"/>
      <c r="J36" s="57"/>
      <c r="K36" s="59" t="e">
        <f>K34+K35</f>
        <v>#REF!</v>
      </c>
      <c r="L36" s="59" t="e">
        <f>L34+L35</f>
        <v>#REF!</v>
      </c>
      <c r="M36" s="59"/>
      <c r="N36" s="57"/>
      <c r="O36" s="57"/>
      <c r="P36" s="57"/>
      <c r="Q36" s="57"/>
      <c r="R36" s="60"/>
      <c r="S36" s="61"/>
      <c r="T36" s="61"/>
      <c r="U36" s="61"/>
      <c r="V36" s="61"/>
      <c r="W36" s="61"/>
      <c r="X36" s="60"/>
      <c r="Y36" s="62"/>
      <c r="AA36" s="64"/>
      <c r="AB36" s="64"/>
      <c r="AC36" s="63"/>
    </row>
    <row r="37" spans="1:29" s="18" customFormat="1" ht="50.1" hidden="1" customHeight="1" x14ac:dyDescent="0.25">
      <c r="B37" s="17"/>
      <c r="C37" s="49" t="s">
        <v>80</v>
      </c>
      <c r="D37" s="50"/>
      <c r="E37" s="50"/>
      <c r="F37" s="50"/>
      <c r="G37" s="50"/>
      <c r="H37" s="50"/>
      <c r="I37" s="50"/>
      <c r="J37" s="50"/>
      <c r="K37" s="67"/>
      <c r="L37" s="66"/>
      <c r="M37" s="66"/>
      <c r="R37" s="34"/>
      <c r="S37" s="35"/>
      <c r="T37" s="35"/>
      <c r="U37" s="35"/>
      <c r="V37" s="35"/>
      <c r="W37" s="35"/>
      <c r="X37" s="34"/>
      <c r="Y37" s="36"/>
    </row>
    <row r="38" spans="1:29" s="18" customFormat="1" ht="50.1" hidden="1" customHeight="1" x14ac:dyDescent="0.25">
      <c r="B38" s="17"/>
      <c r="I38" s="19"/>
      <c r="K38" s="66"/>
      <c r="L38" s="66"/>
      <c r="M38" s="66"/>
      <c r="R38" s="34"/>
      <c r="S38" s="35"/>
      <c r="T38" s="35"/>
      <c r="U38" s="35"/>
      <c r="V38" s="35"/>
      <c r="W38" s="35"/>
      <c r="X38" s="34"/>
      <c r="Y38" s="36"/>
    </row>
    <row r="39" spans="1:29" ht="28.5" hidden="1" customHeight="1" x14ac:dyDescent="0.25">
      <c r="C39" s="46"/>
    </row>
    <row r="41" spans="1:29" ht="67.5" customHeight="1" x14ac:dyDescent="0.25">
      <c r="H41" s="80" t="s">
        <v>138</v>
      </c>
      <c r="I41" s="80"/>
      <c r="J41" s="80"/>
      <c r="K41" s="80"/>
      <c r="L41" s="80"/>
      <c r="M41" s="79"/>
    </row>
    <row r="43" spans="1:29" ht="50.1" customHeight="1" x14ac:dyDescent="0.25">
      <c r="N43" s="20"/>
      <c r="O43" s="65"/>
      <c r="P43" s="65"/>
      <c r="Q43" s="65"/>
    </row>
    <row r="44" spans="1:29" ht="50.1" customHeight="1" x14ac:dyDescent="0.25">
      <c r="N44" s="20"/>
      <c r="O44" s="65"/>
      <c r="P44" s="65"/>
      <c r="Q44" s="65"/>
    </row>
    <row r="45" spans="1:29" ht="50.1" customHeight="1" x14ac:dyDescent="0.25">
      <c r="N45" s="20"/>
      <c r="O45" s="65"/>
      <c r="P45" s="65"/>
      <c r="Q45" s="65"/>
    </row>
    <row r="46" spans="1:29" ht="50.1" customHeight="1" x14ac:dyDescent="0.25">
      <c r="N46" s="20"/>
      <c r="O46" s="65"/>
      <c r="P46" s="65"/>
      <c r="Q46" s="65"/>
    </row>
    <row r="47" spans="1:29" ht="50.1" customHeight="1" x14ac:dyDescent="0.25">
      <c r="N47" s="20"/>
      <c r="O47" s="65"/>
      <c r="P47" s="65"/>
      <c r="Q47" s="65"/>
    </row>
    <row r="48" spans="1:29" ht="50.1" customHeight="1" x14ac:dyDescent="0.25">
      <c r="N48" s="20"/>
      <c r="O48" s="65"/>
      <c r="P48" s="65"/>
      <c r="Q48" s="65"/>
    </row>
    <row r="49" spans="14:17" ht="50.1" customHeight="1" x14ac:dyDescent="0.25">
      <c r="N49" s="20"/>
      <c r="O49" s="65"/>
      <c r="P49" s="65"/>
      <c r="Q49" s="65"/>
    </row>
    <row r="50" spans="14:17" ht="50.1" customHeight="1" x14ac:dyDescent="0.25">
      <c r="N50" s="20"/>
      <c r="O50" s="65"/>
      <c r="P50" s="65"/>
      <c r="Q50" s="65"/>
    </row>
    <row r="51" spans="14:17" ht="50.1" customHeight="1" x14ac:dyDescent="0.25">
      <c r="N51" s="20"/>
      <c r="O51" s="65"/>
      <c r="P51" s="65"/>
      <c r="Q51" s="65"/>
    </row>
    <row r="52" spans="14:17" ht="50.1" customHeight="1" x14ac:dyDescent="0.25">
      <c r="N52" s="20"/>
      <c r="O52" s="65"/>
      <c r="P52" s="65"/>
      <c r="Q52" s="65"/>
    </row>
    <row r="53" spans="14:17" ht="50.1" customHeight="1" x14ac:dyDescent="0.25">
      <c r="N53" s="20"/>
      <c r="O53" s="65"/>
      <c r="P53" s="65"/>
      <c r="Q53" s="65"/>
    </row>
    <row r="54" spans="14:17" ht="50.1" customHeight="1" x14ac:dyDescent="0.25">
      <c r="N54" s="20"/>
      <c r="O54" s="65"/>
      <c r="P54" s="65"/>
      <c r="Q54" s="65"/>
    </row>
    <row r="55" spans="14:17" ht="50.1" customHeight="1" x14ac:dyDescent="0.25">
      <c r="N55" s="20"/>
      <c r="O55" s="65"/>
      <c r="P55" s="65"/>
      <c r="Q55" s="65"/>
    </row>
    <row r="56" spans="14:17" ht="50.1" customHeight="1" x14ac:dyDescent="0.25">
      <c r="N56" s="20"/>
      <c r="O56" s="65"/>
      <c r="P56" s="65"/>
      <c r="Q56" s="65"/>
    </row>
    <row r="57" spans="14:17" ht="50.1" customHeight="1" x14ac:dyDescent="0.25">
      <c r="N57" s="20"/>
      <c r="O57" s="65"/>
      <c r="P57" s="65"/>
      <c r="Q57" s="65"/>
    </row>
    <row r="58" spans="14:17" ht="50.1" customHeight="1" x14ac:dyDescent="0.25">
      <c r="N58" s="20"/>
      <c r="O58" s="65"/>
      <c r="P58" s="65"/>
      <c r="Q58" s="65"/>
    </row>
    <row r="59" spans="14:17" ht="50.1" customHeight="1" x14ac:dyDescent="0.25">
      <c r="N59" s="20"/>
      <c r="O59" s="65"/>
      <c r="P59" s="65"/>
      <c r="Q59" s="65"/>
    </row>
    <row r="60" spans="14:17" ht="50.1" customHeight="1" x14ac:dyDescent="0.25">
      <c r="N60" s="20"/>
      <c r="O60" s="65"/>
      <c r="P60" s="65"/>
      <c r="Q60" s="65"/>
    </row>
    <row r="61" spans="14:17" ht="50.1" customHeight="1" x14ac:dyDescent="0.25">
      <c r="N61" s="20"/>
      <c r="O61" s="65"/>
      <c r="P61" s="65"/>
      <c r="Q61" s="65"/>
    </row>
    <row r="62" spans="14:17" ht="50.1" customHeight="1" x14ac:dyDescent="0.25">
      <c r="N62" s="20"/>
      <c r="O62" s="65"/>
      <c r="P62" s="65"/>
      <c r="Q62" s="65"/>
    </row>
    <row r="63" spans="14:17" ht="50.1" customHeight="1" x14ac:dyDescent="0.25">
      <c r="N63" s="20"/>
      <c r="O63" s="65"/>
      <c r="P63" s="65"/>
      <c r="Q63" s="65"/>
    </row>
    <row r="64" spans="14:17" ht="50.1" customHeight="1" x14ac:dyDescent="0.25">
      <c r="N64" s="20"/>
      <c r="O64" s="65"/>
      <c r="P64" s="65"/>
      <c r="Q64" s="65"/>
    </row>
    <row r="65" spans="14:17" ht="50.1" customHeight="1" x14ac:dyDescent="0.25">
      <c r="N65" s="20"/>
      <c r="O65" s="65"/>
      <c r="P65" s="65"/>
      <c r="Q65" s="65"/>
    </row>
    <row r="66" spans="14:17" ht="50.1" customHeight="1" x14ac:dyDescent="0.25">
      <c r="N66" s="20"/>
      <c r="O66" s="65"/>
      <c r="P66" s="65"/>
      <c r="Q66" s="65"/>
    </row>
    <row r="67" spans="14:17" ht="50.1" customHeight="1" x14ac:dyDescent="0.25">
      <c r="N67" s="20"/>
      <c r="O67" s="65"/>
      <c r="P67" s="65"/>
      <c r="Q67" s="65"/>
    </row>
    <row r="68" spans="14:17" ht="50.1" customHeight="1" x14ac:dyDescent="0.25">
      <c r="N68" s="20"/>
      <c r="O68" s="65"/>
      <c r="P68" s="65"/>
      <c r="Q68" s="65"/>
    </row>
    <row r="69" spans="14:17" ht="50.1" customHeight="1" x14ac:dyDescent="0.25">
      <c r="N69" s="20"/>
    </row>
    <row r="70" spans="14:17" ht="50.1" customHeight="1" x14ac:dyDescent="0.25">
      <c r="N70" s="20"/>
    </row>
    <row r="71" spans="14:17" ht="50.1" customHeight="1" x14ac:dyDescent="0.25">
      <c r="N71" s="20"/>
    </row>
    <row r="72" spans="14:17" ht="50.1" customHeight="1" x14ac:dyDescent="0.25">
      <c r="N72" s="20"/>
    </row>
    <row r="73" spans="14:17" ht="50.1" customHeight="1" x14ac:dyDescent="0.25">
      <c r="N73" s="20"/>
    </row>
    <row r="74" spans="14:17" ht="50.1" customHeight="1" x14ac:dyDescent="0.25">
      <c r="N74" s="20"/>
    </row>
    <row r="75" spans="14:17" ht="50.1" customHeight="1" x14ac:dyDescent="0.25">
      <c r="N75" s="20"/>
    </row>
    <row r="76" spans="14:17" ht="50.1" customHeight="1" x14ac:dyDescent="0.25">
      <c r="N76" s="20"/>
    </row>
    <row r="77" spans="14:17" ht="50.1" customHeight="1" x14ac:dyDescent="0.25">
      <c r="N77" s="20"/>
    </row>
    <row r="78" spans="14:17" ht="50.1" customHeight="1" x14ac:dyDescent="0.25">
      <c r="N78" s="20"/>
    </row>
    <row r="79" spans="14:17" ht="50.1" customHeight="1" x14ac:dyDescent="0.25">
      <c r="N79" s="20"/>
    </row>
    <row r="80" spans="14:17" ht="50.1" customHeight="1" x14ac:dyDescent="0.25">
      <c r="N80" s="20"/>
    </row>
    <row r="81" spans="14:14" ht="50.1" customHeight="1" x14ac:dyDescent="0.25">
      <c r="N81" s="20"/>
    </row>
    <row r="82" spans="14:14" ht="50.1" customHeight="1" x14ac:dyDescent="0.25">
      <c r="N82" s="20"/>
    </row>
    <row r="83" spans="14:14" ht="50.1" customHeight="1" x14ac:dyDescent="0.25">
      <c r="N83" s="20"/>
    </row>
    <row r="84" spans="14:14" ht="50.1" customHeight="1" x14ac:dyDescent="0.25">
      <c r="N84" s="20"/>
    </row>
    <row r="85" spans="14:14" ht="50.1" customHeight="1" x14ac:dyDescent="0.25">
      <c r="N85" s="20"/>
    </row>
    <row r="86" spans="14:14" ht="50.1" customHeight="1" x14ac:dyDescent="0.25">
      <c r="N86" s="20"/>
    </row>
    <row r="87" spans="14:14" ht="50.1" customHeight="1" x14ac:dyDescent="0.25">
      <c r="N87" s="20"/>
    </row>
    <row r="88" spans="14:14" ht="50.1" customHeight="1" x14ac:dyDescent="0.25">
      <c r="N88" s="20"/>
    </row>
    <row r="89" spans="14:14" ht="50.1" customHeight="1" x14ac:dyDescent="0.25">
      <c r="N89" s="20"/>
    </row>
    <row r="90" spans="14:14" ht="50.1" customHeight="1" x14ac:dyDescent="0.25">
      <c r="N90" s="20"/>
    </row>
    <row r="91" spans="14:14" ht="50.1" customHeight="1" x14ac:dyDescent="0.25">
      <c r="N91" s="20"/>
    </row>
    <row r="92" spans="14:14" ht="50.1" customHeight="1" x14ac:dyDescent="0.25">
      <c r="N92" s="20"/>
    </row>
    <row r="93" spans="14:14" ht="50.1" customHeight="1" x14ac:dyDescent="0.25">
      <c r="N93" s="20"/>
    </row>
    <row r="94" spans="14:14" ht="50.1" customHeight="1" x14ac:dyDescent="0.25">
      <c r="N94" s="20"/>
    </row>
    <row r="95" spans="14:14" ht="50.1" customHeight="1" x14ac:dyDescent="0.25">
      <c r="N95" s="20"/>
    </row>
    <row r="96" spans="14:14" ht="50.1" customHeight="1" x14ac:dyDescent="0.25">
      <c r="N96" s="20"/>
    </row>
    <row r="97" spans="14:14" ht="50.1" customHeight="1" x14ac:dyDescent="0.25">
      <c r="N97" s="20"/>
    </row>
    <row r="98" spans="14:14" ht="50.1" customHeight="1" x14ac:dyDescent="0.25">
      <c r="N98" s="20"/>
    </row>
  </sheetData>
  <autoFilter ref="B6:Y39" xr:uid="{00000000-0009-0000-0000-000000000000}">
    <filterColumn colId="3">
      <filters>
        <filter val="19 APELURI"/>
        <filter val="4 APELURI"/>
        <filter val="Asistenta tehnica"/>
        <filter val="Asistență tehnică"/>
        <filter val="Infrastructura de transport"/>
      </filters>
    </filterColumn>
  </autoFilter>
  <mergeCells count="26">
    <mergeCell ref="V5:V6"/>
    <mergeCell ref="W5:W6"/>
    <mergeCell ref="X5:X6"/>
    <mergeCell ref="Y5:Y6"/>
    <mergeCell ref="P5:P6"/>
    <mergeCell ref="R5:R6"/>
    <mergeCell ref="S5:S6"/>
    <mergeCell ref="T5:T6"/>
    <mergeCell ref="U5:U6"/>
    <mergeCell ref="Q5:Q6"/>
    <mergeCell ref="H41:L41"/>
    <mergeCell ref="D3:R3"/>
    <mergeCell ref="B5:B6"/>
    <mergeCell ref="C5:C6"/>
    <mergeCell ref="D5:D6"/>
    <mergeCell ref="E5:E6"/>
    <mergeCell ref="F5:F6"/>
    <mergeCell ref="H5:H6"/>
    <mergeCell ref="I5:I6"/>
    <mergeCell ref="J5:J6"/>
    <mergeCell ref="K5:K6"/>
    <mergeCell ref="L5:L6"/>
    <mergeCell ref="N5:N6"/>
    <mergeCell ref="O5:O6"/>
    <mergeCell ref="G5:G6"/>
    <mergeCell ref="M5:M6"/>
  </mergeCells>
  <pageMargins left="0.70866141732283472" right="0.70866141732283472" top="0.74803149606299213" bottom="0.74803149606299213" header="0.31496062992125984" footer="0.31496062992125984"/>
  <pageSetup paperSize="8" scale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1"/>
  <sheetViews>
    <sheetView workbookViewId="0">
      <selection activeCell="E5" sqref="E5:F5"/>
    </sheetView>
  </sheetViews>
  <sheetFormatPr defaultColWidth="8.85546875" defaultRowHeight="15" x14ac:dyDescent="0.25"/>
  <cols>
    <col min="2" max="3" width="21.42578125" customWidth="1"/>
    <col min="4" max="4" width="23" customWidth="1"/>
    <col min="5" max="5" width="23.140625" bestFit="1" customWidth="1"/>
    <col min="6" max="6" width="27.7109375" customWidth="1"/>
  </cols>
  <sheetData>
    <row r="2" spans="2:6" ht="56.25" x14ac:dyDescent="0.25">
      <c r="B2" s="5" t="s">
        <v>4</v>
      </c>
      <c r="C2" s="5" t="s">
        <v>46</v>
      </c>
      <c r="D2" s="6" t="s">
        <v>45</v>
      </c>
      <c r="E2" s="6" t="s">
        <v>48</v>
      </c>
      <c r="F2" s="6" t="s">
        <v>47</v>
      </c>
    </row>
    <row r="3" spans="2:6" ht="18.75" x14ac:dyDescent="0.25">
      <c r="B3" s="3" t="s">
        <v>30</v>
      </c>
      <c r="C3" s="3"/>
      <c r="D3" s="4"/>
      <c r="E3" s="11"/>
      <c r="F3" s="11"/>
    </row>
    <row r="4" spans="2:6" ht="18.75" x14ac:dyDescent="0.25">
      <c r="B4" s="3" t="s">
        <v>31</v>
      </c>
      <c r="C4" s="3"/>
      <c r="D4" s="4"/>
      <c r="E4" s="11"/>
      <c r="F4" s="11"/>
    </row>
    <row r="5" spans="2:6" ht="18.75" x14ac:dyDescent="0.25">
      <c r="B5" s="3" t="s">
        <v>20</v>
      </c>
      <c r="C5" s="3"/>
      <c r="D5" s="4"/>
      <c r="E5" s="11"/>
      <c r="F5" s="11"/>
    </row>
    <row r="6" spans="2:6" ht="18.75" x14ac:dyDescent="0.25">
      <c r="B6" s="3" t="s">
        <v>32</v>
      </c>
      <c r="C6" s="3"/>
      <c r="D6" s="4"/>
      <c r="E6" s="11"/>
      <c r="F6" s="11"/>
    </row>
    <row r="7" spans="2:6" ht="18.75" x14ac:dyDescent="0.25">
      <c r="B7" s="3" t="s">
        <v>33</v>
      </c>
      <c r="C7" s="12"/>
      <c r="D7" s="13"/>
      <c r="E7" s="14"/>
      <c r="F7" s="14"/>
    </row>
    <row r="8" spans="2:6" ht="18.75" x14ac:dyDescent="0.25">
      <c r="B8" s="3" t="s">
        <v>34</v>
      </c>
      <c r="C8" s="3"/>
      <c r="D8" s="4"/>
      <c r="E8" s="11"/>
      <c r="F8" s="11"/>
    </row>
    <row r="9" spans="2:6" ht="18.75" x14ac:dyDescent="0.25">
      <c r="B9" s="3" t="s">
        <v>35</v>
      </c>
      <c r="C9" s="3"/>
      <c r="D9" s="4"/>
      <c r="E9" s="11"/>
      <c r="F9" s="11"/>
    </row>
    <row r="10" spans="2:6" ht="18.75" x14ac:dyDescent="0.25">
      <c r="B10" s="3" t="s">
        <v>36</v>
      </c>
      <c r="C10" s="3"/>
      <c r="D10" s="4"/>
      <c r="E10" s="11"/>
      <c r="F10" s="11"/>
    </row>
    <row r="11" spans="2:6" ht="18.75" x14ac:dyDescent="0.25">
      <c r="B11" s="7" t="s">
        <v>22</v>
      </c>
      <c r="C11" s="7">
        <f>SUM(C3:C10)</f>
        <v>0</v>
      </c>
      <c r="D11" s="7">
        <f t="shared" ref="D11:F11" si="0">SUM(D3:D10)</f>
        <v>0</v>
      </c>
      <c r="E11" s="7">
        <f t="shared" si="0"/>
        <v>0</v>
      </c>
      <c r="F11" s="7">
        <f t="shared" si="0"/>
        <v>0</v>
      </c>
    </row>
    <row r="12" spans="2:6" ht="18.75" x14ac:dyDescent="0.25">
      <c r="B12" s="3" t="s">
        <v>37</v>
      </c>
      <c r="C12" s="3"/>
      <c r="D12" s="4"/>
      <c r="E12" s="9"/>
      <c r="F12" s="9"/>
    </row>
    <row r="13" spans="2:6" ht="18.75" x14ac:dyDescent="0.25">
      <c r="B13" s="3" t="s">
        <v>38</v>
      </c>
      <c r="C13" s="3"/>
      <c r="D13" s="4"/>
      <c r="E13" s="9"/>
      <c r="F13" s="9"/>
    </row>
    <row r="14" spans="2:6" ht="18.75" x14ac:dyDescent="0.25">
      <c r="B14" s="3" t="s">
        <v>43</v>
      </c>
      <c r="C14" s="3"/>
      <c r="D14" s="4"/>
      <c r="E14" s="9"/>
      <c r="F14" s="9"/>
    </row>
    <row r="15" spans="2:6" ht="18.75" x14ac:dyDescent="0.25">
      <c r="B15" s="3" t="s">
        <v>39</v>
      </c>
      <c r="C15" s="3"/>
      <c r="D15" s="4"/>
      <c r="E15" s="9"/>
      <c r="F15" s="9"/>
    </row>
    <row r="16" spans="2:6" ht="18.75" x14ac:dyDescent="0.25">
      <c r="B16" s="3" t="s">
        <v>40</v>
      </c>
      <c r="C16" s="3"/>
      <c r="D16" s="4"/>
      <c r="E16" s="9"/>
      <c r="F16" s="9"/>
    </row>
    <row r="17" spans="2:6" ht="18.75" x14ac:dyDescent="0.25">
      <c r="B17" s="3" t="s">
        <v>29</v>
      </c>
      <c r="C17" s="3"/>
      <c r="D17" s="4"/>
      <c r="E17" s="9"/>
      <c r="F17" s="9"/>
    </row>
    <row r="18" spans="2:6" ht="18.75" x14ac:dyDescent="0.25">
      <c r="B18" s="3" t="s">
        <v>41</v>
      </c>
      <c r="C18" s="3"/>
      <c r="D18" s="4"/>
      <c r="E18" s="9"/>
      <c r="F18" s="9"/>
    </row>
    <row r="19" spans="2:6" ht="18.75" x14ac:dyDescent="0.25">
      <c r="B19" s="3" t="s">
        <v>42</v>
      </c>
      <c r="C19" s="3"/>
      <c r="D19" s="4"/>
      <c r="E19" s="9"/>
      <c r="F19" s="9"/>
    </row>
    <row r="20" spans="2:6" ht="18.75" x14ac:dyDescent="0.25">
      <c r="B20" s="7" t="s">
        <v>44</v>
      </c>
      <c r="C20" s="10">
        <f t="shared" ref="C20:D20" si="1">SUM(C12:C19)</f>
        <v>0</v>
      </c>
      <c r="D20" s="10">
        <f t="shared" si="1"/>
        <v>0</v>
      </c>
      <c r="E20" s="10">
        <f>SUM(E12:E19)</f>
        <v>0</v>
      </c>
      <c r="F20" s="10">
        <f>SUM(F12:F19)</f>
        <v>0</v>
      </c>
    </row>
    <row r="21" spans="2:6" ht="18.75" x14ac:dyDescent="0.25">
      <c r="B21" s="8" t="s">
        <v>19</v>
      </c>
      <c r="C21" s="15">
        <f>C11+C20</f>
        <v>0</v>
      </c>
      <c r="D21" s="15">
        <f t="shared" ref="D21:F21" si="2">D11+D20</f>
        <v>0</v>
      </c>
      <c r="E21" s="15">
        <f t="shared" si="2"/>
        <v>0</v>
      </c>
      <c r="F21" s="15">
        <f t="shared" si="2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H39"/>
  <sheetViews>
    <sheetView topLeftCell="A6" workbookViewId="0">
      <selection activeCell="I13" sqref="I13"/>
    </sheetView>
  </sheetViews>
  <sheetFormatPr defaultColWidth="8.85546875" defaultRowHeight="15" x14ac:dyDescent="0.25"/>
  <cols>
    <col min="1" max="1" width="13.140625" customWidth="1"/>
    <col min="2" max="2" width="26.28515625" customWidth="1"/>
    <col min="3" max="3" width="27" customWidth="1"/>
    <col min="4" max="5" width="16.28515625" bestFit="1" customWidth="1"/>
    <col min="6" max="6" width="13.140625" customWidth="1"/>
    <col min="7" max="7" width="40" customWidth="1"/>
    <col min="8" max="8" width="38" customWidth="1"/>
    <col min="9" max="9" width="32.42578125" customWidth="1"/>
    <col min="10" max="21" width="16.28515625" bestFit="1" customWidth="1"/>
    <col min="22" max="22" width="11.28515625" bestFit="1" customWidth="1"/>
  </cols>
  <sheetData>
    <row r="3" spans="1:3" x14ac:dyDescent="0.25">
      <c r="A3" s="1" t="s">
        <v>51</v>
      </c>
      <c r="B3" t="s">
        <v>53</v>
      </c>
      <c r="C3" t="s">
        <v>54</v>
      </c>
    </row>
    <row r="4" spans="1:3" x14ac:dyDescent="0.25">
      <c r="A4" s="2" t="s">
        <v>42</v>
      </c>
      <c r="B4">
        <v>5</v>
      </c>
      <c r="C4">
        <v>5</v>
      </c>
    </row>
    <row r="5" spans="1:3" x14ac:dyDescent="0.25">
      <c r="A5" s="2" t="s">
        <v>43</v>
      </c>
      <c r="B5">
        <v>20</v>
      </c>
      <c r="C5">
        <v>20</v>
      </c>
    </row>
    <row r="6" spans="1:3" x14ac:dyDescent="0.25">
      <c r="A6" s="2" t="s">
        <v>29</v>
      </c>
      <c r="B6">
        <v>16</v>
      </c>
      <c r="C6">
        <v>16</v>
      </c>
    </row>
    <row r="7" spans="1:3" x14ac:dyDescent="0.25">
      <c r="A7" s="2" t="s">
        <v>39</v>
      </c>
      <c r="B7">
        <v>59</v>
      </c>
      <c r="C7">
        <v>32</v>
      </c>
    </row>
    <row r="8" spans="1:3" x14ac:dyDescent="0.25">
      <c r="A8" s="2" t="s">
        <v>40</v>
      </c>
      <c r="B8">
        <v>28</v>
      </c>
      <c r="C8">
        <v>12</v>
      </c>
    </row>
    <row r="9" spans="1:3" x14ac:dyDescent="0.25">
      <c r="A9" s="2" t="s">
        <v>36</v>
      </c>
      <c r="B9">
        <v>28</v>
      </c>
      <c r="C9">
        <v>22</v>
      </c>
    </row>
    <row r="10" spans="1:3" x14ac:dyDescent="0.25">
      <c r="A10" s="2" t="s">
        <v>35</v>
      </c>
      <c r="B10">
        <v>35</v>
      </c>
      <c r="C10">
        <v>31</v>
      </c>
    </row>
    <row r="11" spans="1:3" x14ac:dyDescent="0.25">
      <c r="A11" s="2" t="s">
        <v>30</v>
      </c>
      <c r="B11">
        <v>40</v>
      </c>
      <c r="C11">
        <v>17</v>
      </c>
    </row>
    <row r="12" spans="1:3" x14ac:dyDescent="0.25">
      <c r="A12" s="2" t="s">
        <v>34</v>
      </c>
      <c r="B12">
        <v>45</v>
      </c>
      <c r="C12">
        <v>45</v>
      </c>
    </row>
    <row r="13" spans="1:3" x14ac:dyDescent="0.25">
      <c r="A13" s="2" t="s">
        <v>20</v>
      </c>
      <c r="B13">
        <v>25</v>
      </c>
      <c r="C13">
        <v>24</v>
      </c>
    </row>
    <row r="14" spans="1:3" x14ac:dyDescent="0.25">
      <c r="A14" s="2" t="s">
        <v>31</v>
      </c>
      <c r="B14">
        <v>57</v>
      </c>
      <c r="C14">
        <v>53</v>
      </c>
    </row>
    <row r="15" spans="1:3" x14ac:dyDescent="0.25">
      <c r="A15" s="2" t="s">
        <v>32</v>
      </c>
      <c r="B15">
        <v>29</v>
      </c>
      <c r="C15">
        <v>26</v>
      </c>
    </row>
    <row r="16" spans="1:3" x14ac:dyDescent="0.25">
      <c r="A16" s="2" t="s">
        <v>38</v>
      </c>
      <c r="B16">
        <v>97</v>
      </c>
      <c r="C16">
        <v>63</v>
      </c>
    </row>
    <row r="17" spans="1:8" x14ac:dyDescent="0.25">
      <c r="A17" s="2" t="s">
        <v>41</v>
      </c>
      <c r="B17">
        <v>15</v>
      </c>
      <c r="C17">
        <v>15</v>
      </c>
    </row>
    <row r="18" spans="1:8" x14ac:dyDescent="0.25">
      <c r="A18" s="2" t="s">
        <v>33</v>
      </c>
    </row>
    <row r="19" spans="1:8" x14ac:dyDescent="0.25">
      <c r="A19" s="2" t="s">
        <v>37</v>
      </c>
      <c r="B19">
        <v>94</v>
      </c>
      <c r="C19">
        <v>94</v>
      </c>
    </row>
    <row r="20" spans="1:8" x14ac:dyDescent="0.25">
      <c r="A20" s="2" t="s">
        <v>52</v>
      </c>
      <c r="B20">
        <v>593</v>
      </c>
      <c r="C20">
        <v>475</v>
      </c>
    </row>
    <row r="22" spans="1:8" x14ac:dyDescent="0.25">
      <c r="F22" s="1" t="s">
        <v>51</v>
      </c>
      <c r="G22" t="s">
        <v>57</v>
      </c>
      <c r="H22" t="s">
        <v>58</v>
      </c>
    </row>
    <row r="23" spans="1:8" x14ac:dyDescent="0.25">
      <c r="F23" s="2" t="s">
        <v>42</v>
      </c>
      <c r="G23" s="16">
        <v>959.43086400000004</v>
      </c>
      <c r="H23" s="16">
        <v>457.48787299999998</v>
      </c>
    </row>
    <row r="24" spans="1:8" x14ac:dyDescent="0.25">
      <c r="F24" s="2" t="s">
        <v>43</v>
      </c>
      <c r="G24" s="16">
        <v>1953.4533220000001</v>
      </c>
      <c r="H24" s="16">
        <v>1464.0072379999999</v>
      </c>
    </row>
    <row r="25" spans="1:8" x14ac:dyDescent="0.25">
      <c r="F25" s="2" t="s">
        <v>29</v>
      </c>
      <c r="G25" s="16">
        <v>5254.2033190000002</v>
      </c>
      <c r="H25" s="16">
        <v>4044.0736459999998</v>
      </c>
    </row>
    <row r="26" spans="1:8" x14ac:dyDescent="0.25">
      <c r="F26" s="2" t="s">
        <v>39</v>
      </c>
      <c r="G26" s="16">
        <v>1913.53927862975</v>
      </c>
      <c r="H26" s="16">
        <v>1559.902728</v>
      </c>
    </row>
    <row r="27" spans="1:8" x14ac:dyDescent="0.25">
      <c r="F27" s="2" t="s">
        <v>40</v>
      </c>
      <c r="G27" s="16">
        <v>1128.1608819999999</v>
      </c>
      <c r="H27" s="16">
        <v>880.83</v>
      </c>
    </row>
    <row r="28" spans="1:8" x14ac:dyDescent="0.25">
      <c r="F28" s="2" t="s">
        <v>36</v>
      </c>
      <c r="G28" s="16">
        <v>1298.1652005000001</v>
      </c>
      <c r="H28" s="16">
        <v>519.26607960000001</v>
      </c>
    </row>
    <row r="29" spans="1:8" x14ac:dyDescent="0.25">
      <c r="F29" s="2" t="s">
        <v>35</v>
      </c>
      <c r="G29" s="16">
        <v>1245.36919464882</v>
      </c>
      <c r="H29" s="16">
        <v>1033.840453</v>
      </c>
    </row>
    <row r="30" spans="1:8" x14ac:dyDescent="0.25">
      <c r="F30" s="2" t="s">
        <v>30</v>
      </c>
      <c r="G30" s="16">
        <v>958.8</v>
      </c>
      <c r="H30" s="16">
        <v>797.14</v>
      </c>
    </row>
    <row r="31" spans="1:8" x14ac:dyDescent="0.25">
      <c r="F31" s="2" t="s">
        <v>34</v>
      </c>
      <c r="G31" s="16">
        <v>1312.4111618499999</v>
      </c>
      <c r="H31" s="16">
        <v>1092.579518</v>
      </c>
    </row>
    <row r="32" spans="1:8" x14ac:dyDescent="0.25">
      <c r="F32" s="2" t="s">
        <v>20</v>
      </c>
      <c r="G32" s="16">
        <v>1292.5776103399999</v>
      </c>
      <c r="H32" s="16">
        <v>1070.5328149239999</v>
      </c>
    </row>
    <row r="33" spans="6:8" x14ac:dyDescent="0.25">
      <c r="F33" s="2" t="s">
        <v>31</v>
      </c>
      <c r="G33" s="16">
        <v>1273.0753087058799</v>
      </c>
      <c r="H33" s="16">
        <v>1055.4144510000001</v>
      </c>
    </row>
    <row r="34" spans="6:8" x14ac:dyDescent="0.25">
      <c r="F34" s="2" t="s">
        <v>32</v>
      </c>
      <c r="G34" s="16">
        <v>1093.3688629999999</v>
      </c>
      <c r="H34" s="16">
        <v>910.62470499999995</v>
      </c>
    </row>
    <row r="35" spans="6:8" x14ac:dyDescent="0.25">
      <c r="F35" s="2" t="s">
        <v>38</v>
      </c>
      <c r="G35" s="16">
        <v>5470.8015566496697</v>
      </c>
      <c r="H35" s="16">
        <v>1955.51239259</v>
      </c>
    </row>
    <row r="36" spans="6:8" x14ac:dyDescent="0.25">
      <c r="F36" s="2" t="s">
        <v>41</v>
      </c>
      <c r="G36" s="16">
        <v>9626.2365348799995</v>
      </c>
      <c r="H36" s="16">
        <v>4650.5153259999997</v>
      </c>
    </row>
    <row r="37" spans="6:8" x14ac:dyDescent="0.25">
      <c r="F37" s="2" t="s">
        <v>33</v>
      </c>
      <c r="G37" s="16"/>
      <c r="H37" s="16"/>
    </row>
    <row r="38" spans="6:8" x14ac:dyDescent="0.25">
      <c r="F38" s="2" t="s">
        <v>37</v>
      </c>
      <c r="G38" s="16">
        <v>2530.738057</v>
      </c>
      <c r="H38" s="16">
        <v>2139.7155298100001</v>
      </c>
    </row>
    <row r="39" spans="6:8" x14ac:dyDescent="0.25">
      <c r="F39" s="2" t="s">
        <v>52</v>
      </c>
      <c r="G39" s="16">
        <v>37310.331153204119</v>
      </c>
      <c r="H39" s="16">
        <v>23631.442754924003</v>
      </c>
    </row>
  </sheetData>
  <pageMargins left="0.7" right="0.7" top="0.75" bottom="0.75" header="0.3" footer="0.3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8"/>
  <sheetViews>
    <sheetView workbookViewId="0">
      <selection activeCell="B18" sqref="B18:E20"/>
    </sheetView>
  </sheetViews>
  <sheetFormatPr defaultColWidth="8.85546875" defaultRowHeight="15" x14ac:dyDescent="0.25"/>
  <cols>
    <col min="1" max="1" width="20.140625" customWidth="1"/>
    <col min="2" max="2" width="19.42578125" customWidth="1"/>
    <col min="3" max="3" width="22.85546875" customWidth="1"/>
    <col min="4" max="4" width="32.7109375" customWidth="1"/>
    <col min="5" max="5" width="32.140625" customWidth="1"/>
  </cols>
  <sheetData>
    <row r="1" spans="1:5" ht="56.25" x14ac:dyDescent="0.25">
      <c r="A1" s="5" t="s">
        <v>4</v>
      </c>
      <c r="B1" s="5" t="s">
        <v>46</v>
      </c>
      <c r="C1" s="6" t="s">
        <v>45</v>
      </c>
      <c r="D1" s="6" t="s">
        <v>56</v>
      </c>
      <c r="E1" s="6" t="s">
        <v>55</v>
      </c>
    </row>
    <row r="2" spans="1:5" ht="18.75" x14ac:dyDescent="0.25">
      <c r="A2" s="3" t="s">
        <v>30</v>
      </c>
      <c r="B2" s="3">
        <v>40</v>
      </c>
      <c r="C2" s="4">
        <v>17</v>
      </c>
      <c r="D2" s="11">
        <f>958800000/1000000</f>
        <v>958.8</v>
      </c>
      <c r="E2" s="11">
        <f>797140000/1000000</f>
        <v>797.14</v>
      </c>
    </row>
    <row r="3" spans="1:5" ht="18.75" x14ac:dyDescent="0.25">
      <c r="A3" s="3" t="s">
        <v>31</v>
      </c>
      <c r="B3" s="3">
        <v>57</v>
      </c>
      <c r="C3" s="4">
        <v>53</v>
      </c>
      <c r="D3" s="11">
        <f>1273075308.70588/1000000</f>
        <v>1273.0753087058799</v>
      </c>
      <c r="E3" s="11">
        <f>1055414451/1000000</f>
        <v>1055.4144510000001</v>
      </c>
    </row>
    <row r="4" spans="1:5" ht="18.75" x14ac:dyDescent="0.25">
      <c r="A4" s="3" t="s">
        <v>20</v>
      </c>
      <c r="B4" s="3">
        <v>25</v>
      </c>
      <c r="C4" s="4">
        <v>24</v>
      </c>
      <c r="D4" s="11">
        <f>1292577610.34/1000000</f>
        <v>1292.5776103399999</v>
      </c>
      <c r="E4" s="11">
        <f>1070532814.924/1000000</f>
        <v>1070.5328149239999</v>
      </c>
    </row>
    <row r="5" spans="1:5" ht="18.75" x14ac:dyDescent="0.25">
      <c r="A5" s="3" t="s">
        <v>32</v>
      </c>
      <c r="B5" s="3">
        <v>29</v>
      </c>
      <c r="C5" s="4">
        <v>26</v>
      </c>
      <c r="D5" s="11">
        <f>1093368863/1000000</f>
        <v>1093.3688629999999</v>
      </c>
      <c r="E5" s="11">
        <f>910624705/1000000</f>
        <v>910.62470499999995</v>
      </c>
    </row>
    <row r="6" spans="1:5" ht="18.75" x14ac:dyDescent="0.25">
      <c r="A6" s="3" t="s">
        <v>33</v>
      </c>
      <c r="B6" s="12"/>
      <c r="C6" s="13"/>
      <c r="D6" s="14"/>
      <c r="E6" s="14"/>
    </row>
    <row r="7" spans="1:5" ht="18.75" x14ac:dyDescent="0.25">
      <c r="A7" s="3" t="s">
        <v>34</v>
      </c>
      <c r="B7" s="3">
        <v>45</v>
      </c>
      <c r="C7" s="4">
        <v>45</v>
      </c>
      <c r="D7" s="11">
        <f>1312411161.85/1000000</f>
        <v>1312.4111618499999</v>
      </c>
      <c r="E7" s="11">
        <f>1092579518/1000000</f>
        <v>1092.579518</v>
      </c>
    </row>
    <row r="8" spans="1:5" ht="18.75" x14ac:dyDescent="0.25">
      <c r="A8" s="3" t="s">
        <v>35</v>
      </c>
      <c r="B8" s="3">
        <v>35</v>
      </c>
      <c r="C8" s="4">
        <v>31</v>
      </c>
      <c r="D8" s="11">
        <f>1245369194.64882/1000000</f>
        <v>1245.36919464882</v>
      </c>
      <c r="E8" s="11">
        <f>1033840453/1000000</f>
        <v>1033.840453</v>
      </c>
    </row>
    <row r="9" spans="1:5" ht="18.75" x14ac:dyDescent="0.25">
      <c r="A9" s="3" t="s">
        <v>36</v>
      </c>
      <c r="B9" s="3">
        <v>28</v>
      </c>
      <c r="C9" s="4">
        <v>22</v>
      </c>
      <c r="D9" s="11">
        <f>1298165200.5/1000000</f>
        <v>1298.1652005000001</v>
      </c>
      <c r="E9" s="11">
        <f>519266079.6/1000000</f>
        <v>519.26607960000001</v>
      </c>
    </row>
    <row r="10" spans="1:5" ht="18.75" x14ac:dyDescent="0.25">
      <c r="A10" s="3" t="s">
        <v>37</v>
      </c>
      <c r="B10" s="3">
        <v>94</v>
      </c>
      <c r="C10" s="4">
        <v>94</v>
      </c>
      <c r="D10" s="11">
        <f>2530738057/1000000</f>
        <v>2530.738057</v>
      </c>
      <c r="E10" s="11">
        <f>2139715529.81/1000000</f>
        <v>2139.7155298100001</v>
      </c>
    </row>
    <row r="11" spans="1:5" ht="18.75" x14ac:dyDescent="0.25">
      <c r="A11" s="3" t="s">
        <v>38</v>
      </c>
      <c r="B11" s="3">
        <v>97</v>
      </c>
      <c r="C11" s="4">
        <v>63</v>
      </c>
      <c r="D11" s="11">
        <f>5470801556.64967/1000000</f>
        <v>5470.8015566496697</v>
      </c>
      <c r="E11" s="11">
        <f>1955512392.59/1000000</f>
        <v>1955.51239259</v>
      </c>
    </row>
    <row r="12" spans="1:5" ht="18.75" x14ac:dyDescent="0.25">
      <c r="A12" s="3" t="s">
        <v>43</v>
      </c>
      <c r="B12" s="3">
        <v>20</v>
      </c>
      <c r="C12" s="4">
        <v>20</v>
      </c>
      <c r="D12" s="11">
        <f>1953453322/1000000</f>
        <v>1953.4533220000001</v>
      </c>
      <c r="E12" s="11">
        <f>1464007238/1000000</f>
        <v>1464.0072379999999</v>
      </c>
    </row>
    <row r="13" spans="1:5" ht="18.75" x14ac:dyDescent="0.25">
      <c r="A13" s="3" t="s">
        <v>39</v>
      </c>
      <c r="B13" s="3">
        <v>59</v>
      </c>
      <c r="C13" s="4">
        <v>32</v>
      </c>
      <c r="D13" s="11">
        <f>1913539278.62975/1000000</f>
        <v>1913.53927862975</v>
      </c>
      <c r="E13" s="11">
        <f>1559902728/1000000</f>
        <v>1559.902728</v>
      </c>
    </row>
    <row r="14" spans="1:5" ht="18.75" x14ac:dyDescent="0.25">
      <c r="A14" s="3" t="s">
        <v>40</v>
      </c>
      <c r="B14" s="3">
        <v>28</v>
      </c>
      <c r="C14" s="4">
        <v>12</v>
      </c>
      <c r="D14" s="11">
        <f>1128160882/1000000</f>
        <v>1128.1608819999999</v>
      </c>
      <c r="E14" s="11">
        <f>880830000/1000000</f>
        <v>880.83</v>
      </c>
    </row>
    <row r="15" spans="1:5" ht="18.75" x14ac:dyDescent="0.25">
      <c r="A15" s="3" t="s">
        <v>29</v>
      </c>
      <c r="B15" s="3">
        <v>16</v>
      </c>
      <c r="C15" s="4">
        <v>16</v>
      </c>
      <c r="D15" s="11">
        <f>5254203319/1000000</f>
        <v>5254.2033190000002</v>
      </c>
      <c r="E15" s="11">
        <f>4044073646/1000000</f>
        <v>4044.0736459999998</v>
      </c>
    </row>
    <row r="16" spans="1:5" ht="18.75" x14ac:dyDescent="0.25">
      <c r="A16" s="3" t="s">
        <v>41</v>
      </c>
      <c r="B16" s="3">
        <v>15</v>
      </c>
      <c r="C16" s="4">
        <v>15</v>
      </c>
      <c r="D16" s="11">
        <f>9626236534.88/1000000</f>
        <v>9626.2365348799995</v>
      </c>
      <c r="E16" s="11">
        <f>4650515326/1000000</f>
        <v>4650.5153259999997</v>
      </c>
    </row>
    <row r="17" spans="1:5" ht="18.75" x14ac:dyDescent="0.25">
      <c r="A17" s="3" t="s">
        <v>42</v>
      </c>
      <c r="B17" s="3">
        <v>5</v>
      </c>
      <c r="C17" s="4">
        <v>5</v>
      </c>
      <c r="D17" s="11">
        <f>959430864/1000000</f>
        <v>959.43086400000004</v>
      </c>
      <c r="E17" s="11">
        <f>457487873/1000000</f>
        <v>457.48787299999998</v>
      </c>
    </row>
    <row r="18" spans="1:5" ht="18.75" x14ac:dyDescent="0.25">
      <c r="A18" s="8" t="s">
        <v>19</v>
      </c>
      <c r="B18" s="15">
        <f>SUM(B2:B17)</f>
        <v>593</v>
      </c>
      <c r="C18" s="15">
        <f t="shared" ref="C18:E18" si="0">SUM(C2:C17)</f>
        <v>475</v>
      </c>
      <c r="D18" s="15">
        <f t="shared" si="0"/>
        <v>37310.331153204119</v>
      </c>
      <c r="E18" s="15">
        <f t="shared" si="0"/>
        <v>23631.442754923999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4</vt:i4>
      </vt:variant>
      <vt:variant>
        <vt:lpstr>Zone denumite</vt:lpstr>
      </vt:variant>
      <vt:variant>
        <vt:i4>2</vt:i4>
      </vt:variant>
    </vt:vector>
  </HeadingPairs>
  <TitlesOfParts>
    <vt:vector size="6" baseType="lpstr">
      <vt:lpstr>Apeluri PT2024_aprilie2024</vt:lpstr>
      <vt:lpstr>Centralizator 2023</vt:lpstr>
      <vt:lpstr>Sheet1Pivot chart 0</vt:lpstr>
      <vt:lpstr>Sheet9</vt:lpstr>
      <vt:lpstr>'Apeluri PT2024_aprilie2024'!Imprimare_titluri</vt:lpstr>
      <vt:lpstr>'Apeluri PT2024_aprilie2024'!Zona_de_imprimat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Burila</dc:creator>
  <cp:lastModifiedBy>Carmen BUJA</cp:lastModifiedBy>
  <cp:lastPrinted>2023-02-10T16:14:02Z</cp:lastPrinted>
  <dcterms:created xsi:type="dcterms:W3CDTF">2022-11-16T11:13:12Z</dcterms:created>
  <dcterms:modified xsi:type="dcterms:W3CDTF">2024-04-09T05:46:20Z</dcterms:modified>
</cp:coreProperties>
</file>